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35" windowWidth="6375" windowHeight="5400" firstSheet="4" activeTab="12"/>
  </bookViews>
  <sheets>
    <sheet name="2019_Обложка" sheetId="1" r:id="rId1"/>
    <sheet name="2019_метраж" sheetId="2" r:id="rId2"/>
    <sheet name="Штатное" sheetId="3" r:id="rId3"/>
    <sheet name="См_доход" sheetId="4" r:id="rId4"/>
    <sheet name="Бюдж поступл" sheetId="5" r:id="rId5"/>
    <sheet name="См расх" sheetId="6" r:id="rId6"/>
    <sheet name="Отчет " sheetId="7" r:id="rId7"/>
    <sheet name="См затрат" sheetId="8" r:id="rId8"/>
    <sheet name="2019_стр 1" sheetId="9" r:id="rId9"/>
    <sheet name="2019_стр 2" sheetId="10" r:id="rId10"/>
    <sheet name="2019_стр 3" sheetId="11" r:id="rId11"/>
    <sheet name="2019_стр 4" sheetId="12" r:id="rId12"/>
    <sheet name="2019_стр 5" sheetId="13" r:id="rId13"/>
    <sheet name="2019_ СТР 6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<sst xmlns="http://schemas.openxmlformats.org/spreadsheetml/2006/main" count="932" uniqueCount="579">
  <si>
    <t>ТСЖ «Кировское-2»</t>
  </si>
  <si>
    <t>поступлений и затрат</t>
  </si>
  <si>
    <t>на управление и содержание многоквартирных домов</t>
  </si>
  <si>
    <t>Утверждена общим собранием  членов ТСЖ</t>
  </si>
  <si>
    <t>гор. Самара</t>
  </si>
  <si>
    <t>Информация</t>
  </si>
  <si>
    <t>Площадь (м2)</t>
  </si>
  <si>
    <t>Количество</t>
  </si>
  <si>
    <t>жилые</t>
  </si>
  <si>
    <t>нежил.</t>
  </si>
  <si>
    <t>общая</t>
  </si>
  <si>
    <t>лифтов</t>
  </si>
  <si>
    <t>помещ.</t>
  </si>
  <si>
    <t>площадь</t>
  </si>
  <si>
    <t xml:space="preserve"> (шт)</t>
  </si>
  <si>
    <t>ул. Минская, 25</t>
  </si>
  <si>
    <t>ул. Нагорная.143</t>
  </si>
  <si>
    <t>ул. Кромская,4</t>
  </si>
  <si>
    <t>ул. Ставропольская, 204</t>
  </si>
  <si>
    <t>ул. Ставропольская, 202</t>
  </si>
  <si>
    <t>Итого:</t>
  </si>
  <si>
    <t>Товарищество собственников жилья "Кировское-2"</t>
  </si>
  <si>
    <t>ШТАТНОЕ РАСПИСАНИЕ</t>
  </si>
  <si>
    <t>№№</t>
  </si>
  <si>
    <t>Наименование</t>
  </si>
  <si>
    <t>Кол-во</t>
  </si>
  <si>
    <t>п/п</t>
  </si>
  <si>
    <t>должности</t>
  </si>
  <si>
    <t>1.</t>
  </si>
  <si>
    <t>Председатель правления</t>
  </si>
  <si>
    <t>2.</t>
  </si>
  <si>
    <t>Управляющий</t>
  </si>
  <si>
    <t>3.</t>
  </si>
  <si>
    <t>Бухгалтер (возможен договор обслуживания)</t>
  </si>
  <si>
    <t>4.</t>
  </si>
  <si>
    <t>5.</t>
  </si>
  <si>
    <t>Паспортист</t>
  </si>
  <si>
    <t>6.</t>
  </si>
  <si>
    <t>Юрист (возможен договор обслуживания)</t>
  </si>
  <si>
    <t>7.</t>
  </si>
  <si>
    <t xml:space="preserve">Слесарь-сантехник </t>
  </si>
  <si>
    <t>8.</t>
  </si>
  <si>
    <t>9.</t>
  </si>
  <si>
    <t>Слесарь-сантехник с совмещ. профес. электросварщик ручной сварки</t>
  </si>
  <si>
    <t>10.</t>
  </si>
  <si>
    <t>Электромонтер по рем.и обслуж.эл.оборудования</t>
  </si>
  <si>
    <t>11.</t>
  </si>
  <si>
    <t>Дворник (ул. Минская, 25)</t>
  </si>
  <si>
    <t>12.</t>
  </si>
  <si>
    <t>Дворник (ул.Нагорная, 143)</t>
  </si>
  <si>
    <t>13.</t>
  </si>
  <si>
    <t>Дворник (ул.Кромская, 4)</t>
  </si>
  <si>
    <t>14.</t>
  </si>
  <si>
    <t>Дворник (ул.Ставропольская, 204)</t>
  </si>
  <si>
    <t>15.</t>
  </si>
  <si>
    <t>Дворник (ул.Ставропольская, 202)</t>
  </si>
  <si>
    <t>16.</t>
  </si>
  <si>
    <t>17.</t>
  </si>
  <si>
    <t>18.</t>
  </si>
  <si>
    <t>19.</t>
  </si>
  <si>
    <t>20.</t>
  </si>
  <si>
    <t>21.</t>
  </si>
  <si>
    <t>Уборщик подсобных помещений</t>
  </si>
  <si>
    <t>Г.В.Андрющенко</t>
  </si>
  <si>
    <t xml:space="preserve">Бухгалтер </t>
  </si>
  <si>
    <t>Номер документа</t>
  </si>
  <si>
    <t>Дата составления</t>
  </si>
  <si>
    <t>Дата внесения изменений</t>
  </si>
  <si>
    <t>УТВЕРЖДЕНО:</t>
  </si>
  <si>
    <t>протоколом общего собрания  членов ТСЖ</t>
  </si>
  <si>
    <t xml:space="preserve">штат в количестве </t>
  </si>
  <si>
    <t>человек.</t>
  </si>
  <si>
    <t xml:space="preserve">Должностной оклад </t>
  </si>
  <si>
    <t>ФОТ</t>
  </si>
  <si>
    <t xml:space="preserve">Резерв на </t>
  </si>
  <si>
    <t>Итого</t>
  </si>
  <si>
    <t>В договор</t>
  </si>
  <si>
    <t>экономия</t>
  </si>
  <si>
    <t>шт.</t>
  </si>
  <si>
    <t>Управление</t>
  </si>
  <si>
    <t>уборка</t>
  </si>
  <si>
    <t>то</t>
  </si>
  <si>
    <t>всего</t>
  </si>
  <si>
    <t>за месяц</t>
  </si>
  <si>
    <t>отпуск (8,3%)</t>
  </si>
  <si>
    <t>единиц</t>
  </si>
  <si>
    <t>жил. помещ.</t>
  </si>
  <si>
    <t>нежил. помещ.</t>
  </si>
  <si>
    <t>конт.площ.</t>
  </si>
  <si>
    <t>Уборщик служ.пом.(лест. кл. ж.д.ул. Минская)</t>
  </si>
  <si>
    <t>Уборщик служ.пом.(лест. кл. ж.д.ул. Нагорная)</t>
  </si>
  <si>
    <t>Уборщик служ.пом.(лест. кл. ж.д.ул. Кромская)</t>
  </si>
  <si>
    <t>Уборщик служ.пом.(лест. кл. ж.д.ул Ставроп.,204)</t>
  </si>
  <si>
    <t>Уборщик служ.пом.(лест. кл. ж.д.ул. Ставроп.,202)</t>
  </si>
  <si>
    <t>Статьи поступлений</t>
  </si>
  <si>
    <t>Тариф (руб/кв.м)</t>
  </si>
  <si>
    <t>Площадь</t>
  </si>
  <si>
    <t>членских взносов</t>
  </si>
  <si>
    <t>(кв.м.)</t>
  </si>
  <si>
    <t>в месяц</t>
  </si>
  <si>
    <t>за год</t>
  </si>
  <si>
    <t>Содержание общего имущества дома</t>
  </si>
  <si>
    <t>Лифты</t>
  </si>
  <si>
    <t>2017</t>
  </si>
  <si>
    <t>жилой фонд</t>
  </si>
  <si>
    <t>обслуживание</t>
  </si>
  <si>
    <t xml:space="preserve">в мес </t>
  </si>
  <si>
    <t>Фонд оплаты труда персонала</t>
  </si>
  <si>
    <t>экспертиза</t>
  </si>
  <si>
    <t>в год</t>
  </si>
  <si>
    <t>Страховые взносы на фонд оплаты труда</t>
  </si>
  <si>
    <t>Содержание и ремонт лифтов (ул.Минская,25)</t>
  </si>
  <si>
    <t>Содержание и ремонт лифтов (ул.Нагорная,143)</t>
  </si>
  <si>
    <t>Содержание и ремонт лифтов (ул.Кромская,4)</t>
  </si>
  <si>
    <t>Содержание и ремонт лифтов (ул.Ставроп,204)</t>
  </si>
  <si>
    <t>Содержание и ремонт лифтов (ул.Ставроп,202)</t>
  </si>
  <si>
    <t>ТО и тек.ремонт эл.оборудования</t>
  </si>
  <si>
    <t>Текущий ремонт общего имущества</t>
  </si>
  <si>
    <t>Прочие расходы</t>
  </si>
  <si>
    <t>нежилой фонд</t>
  </si>
  <si>
    <t>Повышение</t>
  </si>
  <si>
    <t>по норме</t>
  </si>
  <si>
    <t>КГМ и снег</t>
  </si>
  <si>
    <t>лифты</t>
  </si>
  <si>
    <t>ВДГО</t>
  </si>
  <si>
    <t>МУСОР</t>
  </si>
  <si>
    <t>мусор нужно в мес</t>
  </si>
  <si>
    <t>Коммунальные услуги</t>
  </si>
  <si>
    <t>Фактические затраты</t>
  </si>
  <si>
    <t>Электроэнергия МОП</t>
  </si>
  <si>
    <t>по приборам учета</t>
  </si>
  <si>
    <t>Прочие услуги</t>
  </si>
  <si>
    <t>Обслуживание ВДГО</t>
  </si>
  <si>
    <t>Обслуживание системы видеонаблюдения</t>
  </si>
  <si>
    <t>Прочие поступления</t>
  </si>
  <si>
    <t>Аренда подсобного помещения</t>
  </si>
  <si>
    <t>Размещение оборудования</t>
  </si>
  <si>
    <t>Размещение вытяжных труб и рекламы на фасадах</t>
  </si>
  <si>
    <t>Техобслуживание оборудования</t>
  </si>
  <si>
    <t>(жилой фонд)</t>
  </si>
  <si>
    <t>ул.Нагорная, 143</t>
  </si>
  <si>
    <t>ул. Кромская, 4</t>
  </si>
  <si>
    <t>ул. Ставропольская,204</t>
  </si>
  <si>
    <t>ул. Ставропольская,202</t>
  </si>
  <si>
    <t>(нежилой фонд)</t>
  </si>
  <si>
    <t>в том числе:</t>
  </si>
  <si>
    <t>Коммерческая деятельность</t>
  </si>
  <si>
    <t>Планируемые расходы</t>
  </si>
  <si>
    <t>Содержание персонала</t>
  </si>
  <si>
    <t>Содержание и ремонт лифтов с учетом страхования</t>
  </si>
  <si>
    <t>и освидетельствования</t>
  </si>
  <si>
    <t>прочие работы по технич.содержанию общего имущества</t>
  </si>
  <si>
    <t>Итого содержание общего имущества:</t>
  </si>
  <si>
    <t>Отопление</t>
  </si>
  <si>
    <t>ИТОГО:</t>
  </si>
  <si>
    <t>РСО : Поставщики</t>
  </si>
  <si>
    <t>Оказанные услуги</t>
  </si>
  <si>
    <t>Оплата за услуги (руб)</t>
  </si>
  <si>
    <t>ОАО «Предприятие тепловых сетей»</t>
  </si>
  <si>
    <t>теплоэнергия</t>
  </si>
  <si>
    <t>ООО «Самарские коммунальные системы»</t>
  </si>
  <si>
    <t>водоснабжение</t>
  </si>
  <si>
    <t>АО «Самарагорэнергосбыт»</t>
  </si>
  <si>
    <t>электроэнергия МОП</t>
  </si>
  <si>
    <t>ООО «СВГК»</t>
  </si>
  <si>
    <t>ТО ВДГО</t>
  </si>
  <si>
    <t>ООО «Лифтремонт»</t>
  </si>
  <si>
    <t>ТО лифтов</t>
  </si>
  <si>
    <t>Ф-л ООО СК «ВТБ Страхование» г. Самара</t>
  </si>
  <si>
    <t>страхование лифтов</t>
  </si>
  <si>
    <t>ООО ИЦ «Экспертлифт»</t>
  </si>
  <si>
    <t>освидетельствование лифтов</t>
  </si>
  <si>
    <t xml:space="preserve">ООО "Снаблифт"  </t>
  </si>
  <si>
    <t>оборудование для лифтов</t>
  </si>
  <si>
    <t>ООО «Практика»</t>
  </si>
  <si>
    <t>вывоз ТБО</t>
  </si>
  <si>
    <t>ООО "ТК ОЛИМП"</t>
  </si>
  <si>
    <t>Ремонт под. 2 ул. Нагорная, д.143</t>
  </si>
  <si>
    <t>Ремонт под. 5 ул. Минская, д.25</t>
  </si>
  <si>
    <t>ООО "Волга-Сервис"</t>
  </si>
  <si>
    <t>Ремонт подъезда по ул. Нагорная, д.143, под.1</t>
  </si>
  <si>
    <t>Ремонт подъезда по ул. Нагорная, д.143. под.2</t>
  </si>
  <si>
    <t>Ремонт подъезда по ул. Нагорная, д.143, под.З</t>
  </si>
  <si>
    <t>Ремонт подъезда по ул. Нагорная, д.143. под.4</t>
  </si>
  <si>
    <t>Ремонт подъезда по ул. Нагорная, д.143. под.6</t>
  </si>
  <si>
    <t>Ремонт подъезда по ул. Ставропольская, д.202. под.З</t>
  </si>
  <si>
    <t>Ремонт и покраска стен в арке по ул. Ставропольская, д.202</t>
  </si>
  <si>
    <t>ООО «Поволжский ППТ»</t>
  </si>
  <si>
    <t>Абонентское обслуживание приборов тепловой автоматики</t>
  </si>
  <si>
    <t xml:space="preserve">Сантехническое оборудование </t>
  </si>
  <si>
    <t>Текущий ремонт водопровода</t>
  </si>
  <si>
    <t xml:space="preserve">Текущии ремонт тепловой сети </t>
  </si>
  <si>
    <t>Текущии ремонт тепловой сети с заменой участка тр/пр</t>
  </si>
  <si>
    <t>МП г. Самара "ГАТИ по благоустр"</t>
  </si>
  <si>
    <t>Разрешение на ремонтные работы</t>
  </si>
  <si>
    <t>ООО "ЛЕГИОН"</t>
  </si>
  <si>
    <t>Труба черн. 159*6,0 б/ш</t>
  </si>
  <si>
    <t>АО "Железобетон"Плиты канальные</t>
  </si>
  <si>
    <t>Плиты канальные</t>
  </si>
  <si>
    <t>ООО «Спектр-С»</t>
  </si>
  <si>
    <t>Дератизация</t>
  </si>
  <si>
    <t xml:space="preserve">ООО «Собственная безопасность»                 </t>
  </si>
  <si>
    <t>ТО видеонаблюдения на улице</t>
  </si>
  <si>
    <t>ТО видеонаблюдения в подъездах</t>
  </si>
  <si>
    <t xml:space="preserve">ООО «Сервер»                                                                                                                                                                                           </t>
  </si>
  <si>
    <t>Обновление программного обеспечения, лицензии на ПО, Электронная отчетность,  информационно-вычислительные услуги, обслуживание сайта ТСЖ, Продление модуля ЖКХ</t>
  </si>
  <si>
    <t xml:space="preserve">ООО "Компания "Тензор" </t>
  </si>
  <si>
    <t xml:space="preserve"> ООО «1С-Битрикс»</t>
  </si>
  <si>
    <t xml:space="preserve"> ООО «СМП»</t>
  </si>
  <si>
    <t xml:space="preserve"> ООО студия «Варнофф»</t>
  </si>
  <si>
    <t>ООО «Варнофф»</t>
  </si>
  <si>
    <t>ООО "Тиражные решения 1С-Рарус"</t>
  </si>
  <si>
    <t>ООО «Интеграл Плюс»</t>
  </si>
  <si>
    <t>ТО домофонов</t>
  </si>
  <si>
    <t xml:space="preserve">ООО ЧОП «Церера»                                             </t>
  </si>
  <si>
    <t>Охранная сигнализация</t>
  </si>
  <si>
    <t xml:space="preserve"> Ф-л ФГУП «Охрана» МВД РФ по С/обл.</t>
  </si>
  <si>
    <t xml:space="preserve">ООО "САМАРАТРЕЙДГРУПП"                      </t>
  </si>
  <si>
    <t>Уборка снега и вывоз снега</t>
  </si>
  <si>
    <t>ИП Коротенков С.Н.</t>
  </si>
  <si>
    <t>ООО «ТД «Волгаэлектросбыт»</t>
  </si>
  <si>
    <t>Электрооборудование</t>
  </si>
  <si>
    <t>ООО "ТД "Волгаэлектросбыт"  Электрооборудование</t>
  </si>
  <si>
    <t xml:space="preserve">ООО "Рег орган оценки соответствия" </t>
  </si>
  <si>
    <t xml:space="preserve"> Испытание электроустановок</t>
  </si>
  <si>
    <t>ООО «Деловые линии»</t>
  </si>
  <si>
    <t>Доставка материалов</t>
  </si>
  <si>
    <t>ООО "АкваЦентр"</t>
  </si>
  <si>
    <t xml:space="preserve">ООО "Охта" </t>
  </si>
  <si>
    <t xml:space="preserve"> Краны шаровые</t>
  </si>
  <si>
    <t xml:space="preserve">ООО "МАКСИ" </t>
  </si>
  <si>
    <t>Елочные украшения</t>
  </si>
  <si>
    <t xml:space="preserve">ЗАО "Террамарк" </t>
  </si>
  <si>
    <t>Сведения из ЕГРП</t>
  </si>
  <si>
    <t>ООО "СПТК"</t>
  </si>
  <si>
    <t>Концентрат минеральный (соль)</t>
  </si>
  <si>
    <t>ООО «Инфолада»</t>
  </si>
  <si>
    <t>интернет в офис, услуги связи,</t>
  </si>
  <si>
    <t>Почта России</t>
  </si>
  <si>
    <t>ПАО «ВымпелКом»</t>
  </si>
  <si>
    <t xml:space="preserve">НОЧУ ОДПО "Актион-МЦФЭР"                                                                                                  </t>
  </si>
  <si>
    <t>Обучение и переподготовка персонала</t>
  </si>
  <si>
    <t xml:space="preserve">ООО "Бюро бухгалтерской информации" </t>
  </si>
  <si>
    <t>ООО «ЦДО «Промэнергобезопасность»</t>
  </si>
  <si>
    <t>ООО «ЦДО «АКАТО»</t>
  </si>
  <si>
    <t>ООО «ПрофИнформ»</t>
  </si>
  <si>
    <t xml:space="preserve">ООО "МЦФЭР-пресс"  </t>
  </si>
  <si>
    <t>Подписка 15 мес на электр. журнал</t>
  </si>
  <si>
    <t xml:space="preserve">ООО ИП «Управление ЖКХ» </t>
  </si>
  <si>
    <t>Абонент информац-консул обслуж</t>
  </si>
  <si>
    <t>ООО «ПРАВО И ЖКХ»</t>
  </si>
  <si>
    <t>Юр. услуги (суд по Кромская, 4)</t>
  </si>
  <si>
    <t>ООО «Ресурс Поволжья»</t>
  </si>
  <si>
    <t>Заправка картриджей</t>
  </si>
  <si>
    <t xml:space="preserve">Поволжский банк СБ РФ                             </t>
  </si>
  <si>
    <t>услуги и комиссия банка</t>
  </si>
  <si>
    <t>ООО "Эксперт-Центр"</t>
  </si>
  <si>
    <t>Оформление схемы ЗУ</t>
  </si>
  <si>
    <t>ООО «Профессионал» Хоз инвентарь</t>
  </si>
  <si>
    <t>Прочие расходы (инвентарь, хоз товары, спецодежда, охрана труда и проч.)</t>
  </si>
  <si>
    <t>ООО «ПрофТекс»  Хоз инвентарь</t>
  </si>
  <si>
    <t>ООО "Торг  Комп "Аверс" Спецодежда</t>
  </si>
  <si>
    <t xml:space="preserve">ИП Шпенглер. </t>
  </si>
  <si>
    <t>Урны и ящик почтовый</t>
  </si>
  <si>
    <t xml:space="preserve">ООО "Строй-К". </t>
  </si>
  <si>
    <t>Щетинистое покрытие</t>
  </si>
  <si>
    <t>ООО фирма "Свет"</t>
  </si>
  <si>
    <t>Замена окон в подъездах</t>
  </si>
  <si>
    <t>ООО "Группа Комп "Сильные Решения"</t>
  </si>
  <si>
    <t>Щебень гранитный</t>
  </si>
  <si>
    <t>ТСЖ "Кировское - 2"</t>
  </si>
  <si>
    <t>Бизнес-счет</t>
  </si>
  <si>
    <t>Прочие расходы на содержание общего имущества ТСЖ</t>
  </si>
  <si>
    <t>Наименование работ</t>
  </si>
  <si>
    <t>Содержание персонала (с учетом страховых взносов)</t>
  </si>
  <si>
    <t>Возмещение собственникам затрат по заливам и по прочим решениям суда</t>
  </si>
  <si>
    <t>Налог по УСН, госпошлины, прочие налоги и сборы</t>
  </si>
  <si>
    <t xml:space="preserve">Итого израсходовано на содержание общего имущества ТСЖ «Кировское-2» и оплату коммунальных услуг - </t>
  </si>
  <si>
    <t>-</t>
  </si>
  <si>
    <t>ВСЕГО:</t>
  </si>
  <si>
    <t>Содержание  (ул.Минская,25)</t>
  </si>
  <si>
    <t>руб/м2</t>
  </si>
  <si>
    <t>Содержание  (ул.Нагорная,143)</t>
  </si>
  <si>
    <t>Содержание  (ул.Кромская,4)</t>
  </si>
  <si>
    <t>Содержание  (ул.Став-ая, 204)</t>
  </si>
  <si>
    <t>Андрющенко Г.В.</t>
  </si>
  <si>
    <t>Содержание  (ул.Став-ая, 202)</t>
  </si>
  <si>
    <t>нежилые</t>
  </si>
  <si>
    <t>с газом</t>
  </si>
  <si>
    <t>ремонт тепловых камер, промывка рыданов</t>
  </si>
  <si>
    <t>(материалы для тех.службы, и проч.)</t>
  </si>
  <si>
    <t>Праздничные мероприятия</t>
  </si>
  <si>
    <t xml:space="preserve">Расходы  за  2017 г.                                                                  </t>
  </si>
  <si>
    <t>Приложение №_____</t>
  </si>
  <si>
    <t>Резерв из прошлого периода</t>
  </si>
  <si>
    <t>резерв на обор</t>
  </si>
  <si>
    <t>Прочее по авансовым отчетам</t>
  </si>
  <si>
    <t>Всего вместе с ПЕНИ</t>
  </si>
  <si>
    <t>Резерв из прошлых периодов:</t>
  </si>
  <si>
    <t>вывоз снега</t>
  </si>
  <si>
    <t>контейнерные площадки</t>
  </si>
  <si>
    <t>Непредвиденные затраты</t>
  </si>
  <si>
    <t>ТСЖ  "Кировское-2"</t>
  </si>
  <si>
    <t xml:space="preserve">Смета затрат </t>
  </si>
  <si>
    <t>на управление и эксплуатацию домовладения ТСЖ "Кировское-2"</t>
  </si>
  <si>
    <t xml:space="preserve">на 2018 год </t>
  </si>
  <si>
    <t>утвержденный размер платы</t>
  </si>
  <si>
    <t>Статьи</t>
  </si>
  <si>
    <t>с 1 м2</t>
  </si>
  <si>
    <t>затрат</t>
  </si>
  <si>
    <t>ул. Ставропольская</t>
  </si>
  <si>
    <t>помещения</t>
  </si>
  <si>
    <t>1. Содержание и ремонт домовладения</t>
  </si>
  <si>
    <t xml:space="preserve">   и придомовой территории:</t>
  </si>
  <si>
    <r>
      <t xml:space="preserve">ФОТ персонала </t>
    </r>
    <r>
      <rPr>
        <i/>
        <sz val="9"/>
        <rFont val="Arial"/>
        <family val="2"/>
      </rPr>
      <t>(с учетом страховых взносов)</t>
    </r>
  </si>
  <si>
    <t>обслуживание и ремонт лифтового хозяйства</t>
  </si>
  <si>
    <t>обслуживание эл.оборудования</t>
  </si>
  <si>
    <t>Текущий ремонт</t>
  </si>
  <si>
    <t>прочие расходы</t>
  </si>
  <si>
    <t>2. Домофон</t>
  </si>
  <si>
    <t>3. ВДГО</t>
  </si>
  <si>
    <t>4. Видеонаблюдение</t>
  </si>
  <si>
    <t>5. Электроэнергия МОП</t>
  </si>
  <si>
    <t>по показаниям общедомовых приборов учета</t>
  </si>
  <si>
    <t>6. Коммунальные услуги</t>
  </si>
  <si>
    <t>ГВС</t>
  </si>
  <si>
    <t>Водоотведение</t>
  </si>
  <si>
    <t>ХВС</t>
  </si>
  <si>
    <t xml:space="preserve">Председатель правления </t>
  </si>
  <si>
    <t>Ремонт подъезда по ул. Минская, д.25. под.6</t>
  </si>
  <si>
    <t>Ограждения и ремонт детс.площадок, мелкий ремонт в подъездах</t>
  </si>
  <si>
    <t>Канц.товары, оргтехника, ее обслуживание</t>
  </si>
  <si>
    <t>Прочее, материалы, сантех, расходные</t>
  </si>
  <si>
    <t>2017 г.</t>
  </si>
  <si>
    <t>2018 г.</t>
  </si>
  <si>
    <t xml:space="preserve">Резерв на капитальный ремонт </t>
  </si>
  <si>
    <t>Смета</t>
  </si>
  <si>
    <t>Тариф  (руб/кв.м)</t>
  </si>
  <si>
    <t>резерв на отпуска, 2017 г.</t>
  </si>
  <si>
    <t>Расчет к смете доходов</t>
  </si>
  <si>
    <t>8 мес</t>
  </si>
  <si>
    <t xml:space="preserve">4 мес по </t>
  </si>
  <si>
    <t>или запас на 4 мес</t>
  </si>
  <si>
    <t>Планируемое начисление (с учетом повышения цен на 2,5%)</t>
  </si>
  <si>
    <t>Вывоз ТБО и крупногабаритного мусора, уборка контейн.площ.</t>
  </si>
  <si>
    <t>с 01.06.2018 - 10 000</t>
  </si>
  <si>
    <t>за счет непредвиденных</t>
  </si>
  <si>
    <t>Смета расходов</t>
  </si>
  <si>
    <t>Резерв на оплату отпускных (8,3%) и дополнительных и непредвиденных работ (с учетом страховых взносов)</t>
  </si>
  <si>
    <t>эл.обор.</t>
  </si>
  <si>
    <r>
      <t>Протокол №   _</t>
    </r>
    <r>
      <rPr>
        <sz val="14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_      от</t>
    </r>
  </si>
  <si>
    <t xml:space="preserve">от  « _17_ »_04_ 2018. № _1_        </t>
  </si>
  <si>
    <t>Юрист  (возможен договор обслуживания)</t>
  </si>
  <si>
    <t>на 2019 год</t>
  </si>
  <si>
    <r>
      <t>« _</t>
    </r>
    <r>
      <rPr>
        <sz val="14"/>
        <color indexed="8"/>
        <rFont val="Times New Roman"/>
        <family val="1"/>
      </rPr>
      <t>хх</t>
    </r>
    <r>
      <rPr>
        <sz val="11"/>
        <color indexed="8"/>
        <rFont val="Times New Roman"/>
        <family val="1"/>
      </rPr>
      <t>_ »_</t>
    </r>
    <r>
      <rPr>
        <sz val="14"/>
        <color indexed="8"/>
        <rFont val="Times New Roman"/>
        <family val="1"/>
      </rPr>
      <t>хх</t>
    </r>
    <r>
      <rPr>
        <sz val="11"/>
        <color indexed="8"/>
        <rFont val="Times New Roman"/>
        <family val="1"/>
      </rPr>
      <t xml:space="preserve">_ </t>
    </r>
    <r>
      <rPr>
        <sz val="14"/>
        <color indexed="8"/>
        <rFont val="Times New Roman"/>
        <family val="1"/>
      </rPr>
      <t>2019 г.</t>
    </r>
  </si>
  <si>
    <t xml:space="preserve">жилые </t>
  </si>
  <si>
    <t>нежилые помещ</t>
  </si>
  <si>
    <t>Резерв на отпуск (8,3%)</t>
  </si>
  <si>
    <t>для расчета сметы на 2019 г.</t>
  </si>
  <si>
    <t>06.12.2018 г.</t>
  </si>
  <si>
    <t>к выдаче</t>
  </si>
  <si>
    <t>Взнос в ПФ РФ, 22%</t>
  </si>
  <si>
    <t xml:space="preserve"> в ПФ РФ, 22%   на 8,3%</t>
  </si>
  <si>
    <t>Взнос в ФСС РФ, 2,9%</t>
  </si>
  <si>
    <t>в ФСС РФ, 2,9% на 8,3%</t>
  </si>
  <si>
    <t xml:space="preserve"> в ПФ РФ, 22% на 8,3%</t>
  </si>
  <si>
    <t>Взнос в ФФОМС , 5,1%</t>
  </si>
  <si>
    <t>в ФФОМС , 5,1% на 8,3%</t>
  </si>
  <si>
    <t>Взнос в ФФОМС, 5,1%</t>
  </si>
  <si>
    <t>в ФФОМС, 5,1%  на 8,3%</t>
  </si>
  <si>
    <t>Взнос в ФСС несч. Сл, 0,2%</t>
  </si>
  <si>
    <t>в ФСС несч. сл, 0,2% на 8,3%</t>
  </si>
  <si>
    <t>Взнос в ФСС несч. сл, 0,2%</t>
  </si>
  <si>
    <t>на 2019</t>
  </si>
  <si>
    <t>УВЕЛИЧЕНИЕ</t>
  </si>
  <si>
    <t>Из уборки конт площ</t>
  </si>
  <si>
    <t>на уменьшение</t>
  </si>
  <si>
    <t>2019</t>
  </si>
  <si>
    <t>Начисления в  2018</t>
  </si>
  <si>
    <t>Планируемое начисление в 2019</t>
  </si>
  <si>
    <t>для жилых</t>
  </si>
  <si>
    <t>для нежилых</t>
  </si>
  <si>
    <t xml:space="preserve"> с 8,3%</t>
  </si>
  <si>
    <t>Тек рем эл.обор жилых</t>
  </si>
  <si>
    <t>2019 г.</t>
  </si>
  <si>
    <t>м</t>
  </si>
  <si>
    <t>н</t>
  </si>
  <si>
    <t>к</t>
  </si>
  <si>
    <t>недобор</t>
  </si>
  <si>
    <t>з/пл</t>
  </si>
  <si>
    <t>Уборка контейн. площадок и вывоз мусора ТСЖ</t>
  </si>
  <si>
    <r>
      <t xml:space="preserve">на </t>
    </r>
    <r>
      <rPr>
        <b/>
        <sz val="11"/>
        <color indexed="8"/>
        <rFont val="Times New Roman"/>
        <family val="1"/>
      </rPr>
      <t>2019</t>
    </r>
    <r>
      <rPr>
        <sz val="11"/>
        <color indexed="8"/>
        <rFont val="Times New Roman"/>
        <family val="1"/>
      </rPr>
      <t xml:space="preserve"> год.</t>
    </r>
  </si>
  <si>
    <t>Бюджет поступлений денежных средств на 2018-2019 год.</t>
  </si>
  <si>
    <t>Планируемое начисление на 2018</t>
  </si>
  <si>
    <t>Планируемое начисление на 2019</t>
  </si>
  <si>
    <t>Планируемое начисление (с учетом повышения цен на 2,5% и 2% НДС)</t>
  </si>
  <si>
    <t>СТРАХОВ</t>
  </si>
  <si>
    <t>ремонт подъездов жилого дома ул.Ставропольская, 204</t>
  </si>
  <si>
    <t>установить зеркала в лифтах подъездов</t>
  </si>
  <si>
    <t>установить на территории тренажеры для пожилых</t>
  </si>
  <si>
    <t>замена и ремонт конструкций на Дет площ на паркинге</t>
  </si>
  <si>
    <t>обустройство территории для выгула собак</t>
  </si>
  <si>
    <t>прочие материалы и затраты</t>
  </si>
  <si>
    <r>
      <t xml:space="preserve">на </t>
    </r>
    <r>
      <rPr>
        <b/>
        <sz val="12"/>
        <color indexed="8"/>
        <rFont val="Times New Roman"/>
        <family val="1"/>
      </rPr>
      <t>2018</t>
    </r>
    <r>
      <rPr>
        <sz val="12"/>
        <color indexed="8"/>
        <rFont val="Times New Roman"/>
        <family val="1"/>
      </rPr>
      <t xml:space="preserve"> год.</t>
    </r>
  </si>
  <si>
    <r>
      <t xml:space="preserve">на </t>
    </r>
    <r>
      <rPr>
        <b/>
        <sz val="12"/>
        <color indexed="8"/>
        <rFont val="Times New Roman"/>
        <family val="1"/>
      </rPr>
      <t>2019</t>
    </r>
    <r>
      <rPr>
        <sz val="12"/>
        <color indexed="8"/>
        <rFont val="Times New Roman"/>
        <family val="1"/>
      </rPr>
      <t>год.</t>
    </r>
  </si>
  <si>
    <t>Наименование должности</t>
  </si>
  <si>
    <t>№№ п/п</t>
  </si>
  <si>
    <t>Кол-во, единиц</t>
  </si>
  <si>
    <t>Управляющий домами</t>
  </si>
  <si>
    <t>Слесарь-сантехник с совмещением профес. электросварщик ручной сварки</t>
  </si>
  <si>
    <t>Уборщик служ.помещ. (лестн. клеток ж.д.ул. Минская)</t>
  </si>
  <si>
    <t>Уборщик служ.помещ. (лестн. клеток ж.д.ул. Нагорная)</t>
  </si>
  <si>
    <t>Уборщик служ.помещ. (лестн. клеток ж.д.ул. Кромская)</t>
  </si>
  <si>
    <t>жилые помещ.</t>
  </si>
  <si>
    <t>общая площадь</t>
  </si>
  <si>
    <t>лифтов  (шт)</t>
  </si>
  <si>
    <t>Уборщик служ.помещ. (лестн. клеток ж.д.ул. Ставр., 204)</t>
  </si>
  <si>
    <t>Уборщик служ.помещ. ( лестн. клеток ж.д.ул. Ставр., 202)</t>
  </si>
  <si>
    <t>ФОТ за месяц</t>
  </si>
  <si>
    <t>Разница, увеличение взносов</t>
  </si>
  <si>
    <t>Взносы  и страхование</t>
  </si>
  <si>
    <t>на год:</t>
  </si>
  <si>
    <t>Затраты на содержание лифтов</t>
  </si>
  <si>
    <t>страхование</t>
  </si>
  <si>
    <t>Итого на одинв месяц:</t>
  </si>
  <si>
    <r>
      <rPr>
        <b/>
        <i/>
        <sz val="12"/>
        <color indexed="8"/>
        <rFont val="Times New Roman"/>
        <family val="1"/>
      </rPr>
      <t>Оклады по штатному расписанию остались на уровне 2018 года.</t>
    </r>
    <r>
      <rPr>
        <sz val="12"/>
        <color indexed="8"/>
        <rFont val="Times New Roman"/>
        <family val="1"/>
      </rPr>
      <t xml:space="preserve"> Повышение по статьям: Страховые взносы в ФНС на : - пенсионное страховани - 22,0%, (</t>
    </r>
    <r>
      <rPr>
        <b/>
        <i/>
        <sz val="12"/>
        <color indexed="8"/>
        <rFont val="Times New Roman"/>
        <family val="1"/>
      </rPr>
      <t xml:space="preserve"> было 20,2%</t>
    </r>
    <r>
      <rPr>
        <sz val="12"/>
        <color indexed="8"/>
        <rFont val="Times New Roman"/>
        <family val="1"/>
      </rPr>
      <t xml:space="preserve">); - на социальное страхование - 2,9%, - медицинское страхование - 5,1%, - страхование от несчастных случаев на производстве - 0,2%,. </t>
    </r>
    <r>
      <rPr>
        <b/>
        <i/>
        <sz val="12"/>
        <color indexed="8"/>
        <rFont val="Times New Roman"/>
        <family val="1"/>
      </rPr>
      <t>ВСЕГО  = 30,2%</t>
    </r>
  </si>
  <si>
    <t>Начисление на 2018</t>
  </si>
  <si>
    <t>Планируемое начисление (с учетом повышения цен на 2,5% и 2% НДС к фактическому потреблению  2018 г)</t>
  </si>
  <si>
    <t>Страховые взносы на ФОТ</t>
  </si>
  <si>
    <r>
      <t xml:space="preserve">на </t>
    </r>
    <r>
      <rPr>
        <b/>
        <sz val="14"/>
        <color indexed="8"/>
        <rFont val="Times New Roman"/>
        <family val="1"/>
      </rPr>
      <t>2019</t>
    </r>
    <r>
      <rPr>
        <sz val="14"/>
        <color indexed="8"/>
        <rFont val="Times New Roman"/>
        <family val="1"/>
      </rPr>
      <t xml:space="preserve"> год.</t>
    </r>
  </si>
  <si>
    <r>
      <t>Затраты "Уборка контейнерных площадок и вывоз мусора и снега" -</t>
    </r>
    <r>
      <rPr>
        <b/>
        <i/>
        <sz val="10"/>
        <color indexed="8"/>
        <rFont val="Times New Roman"/>
        <family val="1"/>
      </rPr>
      <t xml:space="preserve"> МУСОР</t>
    </r>
    <r>
      <rPr>
        <sz val="10"/>
        <color indexed="8"/>
        <rFont val="Times New Roman"/>
        <family val="1"/>
      </rPr>
      <t xml:space="preserve"> -вынесена из строки "Тех/обслуживание" и будет начисляться как Услуга по отдельному договору с Регоператором, но в расчетах начисления участвует. МУСОР только по цене 1 м3 дороже договорного 2018 г в 3 раза.</t>
    </r>
  </si>
  <si>
    <t>Расходы</t>
  </si>
  <si>
    <t>Бюджет поступлений денежных средств на 2019 год.</t>
  </si>
  <si>
    <t xml:space="preserve">в т.ч. резерв на оплату отпускных (8,3%) с учетом страховых взносов </t>
  </si>
  <si>
    <t>ремонт под ж.д. по ул.Ставропольская №204 (1-5 подъезды)</t>
  </si>
  <si>
    <t>ФОТ персонала (с учетом страховых взносов)</t>
  </si>
  <si>
    <t xml:space="preserve">на 2019 год </t>
  </si>
  <si>
    <t>3. Домофон</t>
  </si>
  <si>
    <t>4. ВДГО</t>
  </si>
  <si>
    <t>5. Видеонаблюдение</t>
  </si>
  <si>
    <t>6. Электроэнергия МОП</t>
  </si>
  <si>
    <t>7. Коммунальные услуги</t>
  </si>
  <si>
    <t>нежилые помещения</t>
  </si>
  <si>
    <t>ул. Ставропольская,       204</t>
  </si>
  <si>
    <t>по показаниям общедомовых приборов учета ГВС И ХВС</t>
  </si>
  <si>
    <t>использовать в 2019</t>
  </si>
  <si>
    <t>Расходы за 11 месяцев 2018 года</t>
  </si>
  <si>
    <t>Поставщики</t>
  </si>
  <si>
    <t>Сумма оплаты</t>
  </si>
  <si>
    <t>ГВС и отопление</t>
  </si>
  <si>
    <t>АО Предприятие тепловых сетей</t>
  </si>
  <si>
    <t>Сайт. Лицензия. Продление модуля, домена</t>
  </si>
  <si>
    <t>ООО 1С-Битрикс</t>
  </si>
  <si>
    <t>ХВС и водоотведение</t>
  </si>
  <si>
    <t>ООО «СКС»</t>
  </si>
  <si>
    <t>ООО Тиражные решения 1С-Рарус</t>
  </si>
  <si>
    <t>Электроэнергия</t>
  </si>
  <si>
    <t>АО Самараэнерго</t>
  </si>
  <si>
    <t>ООО Варнофф</t>
  </si>
  <si>
    <t>Вывоз ТБО</t>
  </si>
  <si>
    <t>ООО Практика</t>
  </si>
  <si>
    <t xml:space="preserve">Подписка на электронный журнал </t>
  </si>
  <si>
    <t>ООО МЦФЭР. Управление МКД</t>
  </si>
  <si>
    <t>ООО СВГК</t>
  </si>
  <si>
    <t>ООО РИД "Председатель ТСЖ"</t>
  </si>
  <si>
    <t>ТО лифтов, Оборудование для лифтов</t>
  </si>
  <si>
    <t>ООО Лифтремонт</t>
  </si>
  <si>
    <t>Участие в форуме СУЖФ</t>
  </si>
  <si>
    <t>ООО ИП Управление ЖКХ</t>
  </si>
  <si>
    <t>ООО Снаблифт</t>
  </si>
  <si>
    <t>Продление подписки ИТС ТЕХНО</t>
  </si>
  <si>
    <t>ООО СМП</t>
  </si>
  <si>
    <t>Доставка лифтового оборудования</t>
  </si>
  <si>
    <t>ООО Деловые линии</t>
  </si>
  <si>
    <t>Заправка картриджей и ремонт принтеров</t>
  </si>
  <si>
    <t>ООО Ресурс Поволжья</t>
  </si>
  <si>
    <t>Ремонт подъездов, ревизия окон</t>
  </si>
  <si>
    <t>ООО ССК-Эдем</t>
  </si>
  <si>
    <t>Бумага, канцтовары</t>
  </si>
  <si>
    <t>ООО Бизнес-Лига</t>
  </si>
  <si>
    <t>ООО Волга-сервис</t>
  </si>
  <si>
    <t>ООО Константа</t>
  </si>
  <si>
    <t>ООО Пластстрой</t>
  </si>
  <si>
    <t>Составление реестров собств., Сведения из ЕГРП</t>
  </si>
  <si>
    <t>ИП Ромащенко</t>
  </si>
  <si>
    <t>Ремонт Детских площадок</t>
  </si>
  <si>
    <t>ИП Бражникова. Трава+клей</t>
  </si>
  <si>
    <t>ЗАО Террамарк</t>
  </si>
  <si>
    <t>ООО НССГЕО Полотно гео</t>
  </si>
  <si>
    <t>Услуги связи</t>
  </si>
  <si>
    <t>ПАО Вымпелком</t>
  </si>
  <si>
    <t>Ремонт асфальта</t>
  </si>
  <si>
    <t>ООО Наследие</t>
  </si>
  <si>
    <t>ООО Инфолада</t>
  </si>
  <si>
    <t>Ремонт ввода на ТУ Наг, 143</t>
  </si>
  <si>
    <t>ООО Полиур Самара, скорлупа</t>
  </si>
  <si>
    <t>Комиссия банка и Почты за платежи</t>
  </si>
  <si>
    <t>Поволжский банк Сбербанка РФ</t>
  </si>
  <si>
    <t>ООО Сильные Решения, песок</t>
  </si>
  <si>
    <t>МП ГАТИ по благоустройству</t>
  </si>
  <si>
    <t>Возмещение после залития помещ при засоре канализации</t>
  </si>
  <si>
    <t>Маркелов А.В. (н.п. М-25, цоколь) по суду</t>
  </si>
  <si>
    <t>Ремонт фасада, материалы</t>
  </si>
  <si>
    <t>ООО Кров Сервис, пена, сетка</t>
  </si>
  <si>
    <t>Самаркин Н.Ю. (М-25-215, 2 эт) Мировое соглашение</t>
  </si>
  <si>
    <t>ООО СтройКомплект, пена, сетка</t>
  </si>
  <si>
    <t xml:space="preserve">Возмещение после залития помещ ХВС, Чернов А.Н. (Ст.204, 1 эт) </t>
  </si>
  <si>
    <t>Мировое соглашение</t>
  </si>
  <si>
    <t>Замена розлива ХВС, Наг., 143</t>
  </si>
  <si>
    <t>ИП Чинарев</t>
  </si>
  <si>
    <t>Плитка потолочная , ООО Торговый Дом Восток</t>
  </si>
  <si>
    <t>ООО Поволжский ППТ</t>
  </si>
  <si>
    <t>Уголки, лист металл, полоса ГК</t>
  </si>
  <si>
    <t>ООО Стройоптторгсервис</t>
  </si>
  <si>
    <t>Испытания измер. комплекса электроустановок</t>
  </si>
  <si>
    <t>ООО УПЦ Самарагосэнергонадзора</t>
  </si>
  <si>
    <t>Круги отрезные</t>
  </si>
  <si>
    <t>ООО ТДСЗ</t>
  </si>
  <si>
    <t>ООО РООС</t>
  </si>
  <si>
    <t>Перфоратор, набор буров, магнитная головка</t>
  </si>
  <si>
    <t>ООО Техноторг</t>
  </si>
  <si>
    <t>Предэкзаменационная подготовка персонала</t>
  </si>
  <si>
    <t>ООО ЦДО Промэнергобезопасность</t>
  </si>
  <si>
    <t>Задвижка, вентили, счетчики, прокладка, краны</t>
  </si>
  <si>
    <t>ЗАО АвиаТАР</t>
  </si>
  <si>
    <t>Уборка и вывоз снега</t>
  </si>
  <si>
    <t>ИП Коротенко</t>
  </si>
  <si>
    <t>Прочистная машина</t>
  </si>
  <si>
    <t>ООО ВсеИнструменты.ру</t>
  </si>
  <si>
    <t>ООО СамараСтройТранс</t>
  </si>
  <si>
    <t>Перчатки</t>
  </si>
  <si>
    <t>ООО Торгснаб</t>
  </si>
  <si>
    <t>ИП Кутляев</t>
  </si>
  <si>
    <t>Перчатки, клейкая лента</t>
  </si>
  <si>
    <t>ООО Профессионал</t>
  </si>
  <si>
    <t>ООО Собственная безопасность</t>
  </si>
  <si>
    <t>Моющие средства</t>
  </si>
  <si>
    <t>ООО ТД ГрассСамара</t>
  </si>
  <si>
    <t>ООО Интеграл Плюс</t>
  </si>
  <si>
    <t>Жилет сигнальный</t>
  </si>
  <si>
    <t>ООО Тексгарант</t>
  </si>
  <si>
    <t>ТО видеонаблюдение</t>
  </si>
  <si>
    <t>Концентрат минеральный</t>
  </si>
  <si>
    <t>ООО СПТК</t>
  </si>
  <si>
    <t>ТО охранной сигнализации</t>
  </si>
  <si>
    <t>Филиал ФГУП Охрана МВД РФ</t>
  </si>
  <si>
    <t>Черенки, лопаты, ведра</t>
  </si>
  <si>
    <t>ООО Титул</t>
  </si>
  <si>
    <t>БухОбслуживание</t>
  </si>
  <si>
    <t>ИП Дерр</t>
  </si>
  <si>
    <t>ООО Профдез21век</t>
  </si>
  <si>
    <t>ООО Ваш Налоговый Консультант</t>
  </si>
  <si>
    <t>Прожектора, лампы светодиодные и накаливания</t>
  </si>
  <si>
    <t>ООО ТД Электротехмонтаж</t>
  </si>
  <si>
    <t>Юридические услуги</t>
  </si>
  <si>
    <t>ООО Право и ЖКХ</t>
  </si>
  <si>
    <t>Прожектора</t>
  </si>
  <si>
    <t>ООО Техэнергокосмплект</t>
  </si>
  <si>
    <t>Каргина А.Н.</t>
  </si>
  <si>
    <t>Трансформатор, лампы, контактор с приставкой, электросчетчики</t>
  </si>
  <si>
    <t>ООО ТД Волгаэлектросбыт</t>
  </si>
  <si>
    <t>Госпошлины</t>
  </si>
  <si>
    <t>Светодиодные гирлянды</t>
  </si>
  <si>
    <t>ООО Специалист+</t>
  </si>
  <si>
    <t>Заработная плата</t>
  </si>
  <si>
    <t>Наличные расчеты</t>
  </si>
  <si>
    <t>НДФЛ</t>
  </si>
  <si>
    <t>Страховые взносы</t>
  </si>
  <si>
    <t>Налог УСН</t>
  </si>
  <si>
    <t>Жил Инспекция</t>
  </si>
  <si>
    <t>Штрафы</t>
  </si>
  <si>
    <t>Обслуживание программ для расчета и Эл Отчетн</t>
  </si>
  <si>
    <t>ООО Сервер</t>
  </si>
  <si>
    <t>ООО Тензор /СБИС</t>
  </si>
  <si>
    <t>Абон. Обсл. Ремонт Наг, 143</t>
  </si>
  <si>
    <t>Уборка контейн. площадок и убрка снега</t>
  </si>
  <si>
    <t>в т.ч.: Уборка контейн. площадок и убрка снега</t>
  </si>
  <si>
    <t>2. Уборка контейн площ., уборка снега</t>
  </si>
  <si>
    <t>Всего: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</si>
</sst>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.00&quot;   &quot;;&quot;-&quot;#,##0.00&quot;   &quot;;&quot; -&quot;00&quot;   &quot;;&quot; &quot;@&quot; &quot;"/>
    <numFmt numFmtId="173" formatCode="#,##0.0"/>
    <numFmt numFmtId="174" formatCode="&quot; &quot;#,##0&quot;   &quot;;&quot;-&quot;#,##0&quot;   &quot;;&quot; -&quot;00&quot;   &quot;;&quot; &quot;@&quot; &quot;"/>
    <numFmt numFmtId="175" formatCode="&quot; &quot;#,##0.0&quot;   &quot;;&quot;-&quot;#,##0.0&quot;   &quot;;&quot; -&quot;00&quot;   &quot;;&quot; &quot;@&quot; &quot;"/>
    <numFmt numFmtId="176" formatCode="&quot; &quot;#,##0.0&quot;   &quot;;&quot;-&quot;#,##0.0&quot;   &quot;;&quot; -&quot;0&quot;   &quot;;&quot; &quot;@&quot; &quot;"/>
    <numFmt numFmtId="177" formatCode="0.000"/>
    <numFmt numFmtId="178" formatCode="&quot; &quot;#,##0.00&quot;   &quot;;&quot;-&quot;#,##0.00&quot;   &quot;;&quot; -&quot;00.00&quot;   &quot;;&quot; &quot;@&quot; &quot;"/>
    <numFmt numFmtId="179" formatCode="#,##0.00&quot; &quot;[$руб.-419];[Red]&quot;-&quot;#,##0.00&quot; &quot;[$руб.-419]"/>
    <numFmt numFmtId="180" formatCode="dd&quot;.&quot;mm&quot;.&quot;yyyy"/>
    <numFmt numFmtId="181" formatCode="0.00000"/>
    <numFmt numFmtId="182" formatCode="0.0000"/>
    <numFmt numFmtId="183" formatCode="&quot; &quot;#,##0.0&quot;   &quot;;&quot;-&quot;#,##0.0&quot;   &quot;;&quot; -&quot;00.0&quot;   &quot;;&quot; &quot;@&quot; &quot;"/>
    <numFmt numFmtId="184" formatCode="&quot; &quot;#,##0.00&quot;   &quot;;&quot;-&quot;#,##0.00&quot;   &quot;;&quot; -&quot;00.0&quot;   &quot;;&quot; &quot;@&quot; &quot;"/>
    <numFmt numFmtId="185" formatCode="[$-FC19]d\ mmmm\ yyyy\ &quot;г.&quot;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"/>
    <numFmt numFmtId="192" formatCode="0.000000"/>
    <numFmt numFmtId="193" formatCode="&quot; &quot;#,##0.000&quot;   &quot;;&quot;-&quot;#,##0.000&quot;   &quot;;&quot; -&quot;00.0&quot;   &quot;;&quot; &quot;@&quot; &quot;"/>
    <numFmt numFmtId="194" formatCode="&quot; &quot;#,##0.0000&quot;   &quot;;&quot;-&quot;#,##0.0000&quot;   &quot;;&quot; -&quot;00.00&quot;   &quot;;&quot; &quot;@&quot; &quot;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&quot; &quot;#,##0.00000&quot;   &quot;;&quot;-&quot;#,##0.00000&quot;   &quot;;&quot; -&quot;00.000&quot;   &quot;;&quot; &quot;@&quot; &quot;"/>
    <numFmt numFmtId="203" formatCode="#,###.00"/>
  </numFmts>
  <fonts count="106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Arial1"/>
      <family val="0"/>
    </font>
    <font>
      <i/>
      <sz val="12"/>
      <color indexed="8"/>
      <name val="Times New Roman"/>
      <family val="1"/>
    </font>
    <font>
      <sz val="12"/>
      <color indexed="8"/>
      <name val="Arial1"/>
      <family val="0"/>
    </font>
    <font>
      <b/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6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sz val="13"/>
      <color rgb="FF000000"/>
      <name val="Arial1"/>
      <family val="0"/>
    </font>
    <font>
      <b/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Arial1"/>
      <family val="0"/>
    </font>
    <font>
      <b/>
      <i/>
      <sz val="10"/>
      <color rgb="FF000000"/>
      <name val="Times New Roman"/>
      <family val="1"/>
    </font>
    <font>
      <b/>
      <i/>
      <u val="single"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3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/>
    </border>
    <border>
      <left style="medium"/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/>
      <right style="medium">
        <color indexed="8"/>
      </right>
      <top/>
      <bottom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rgb="FF000000"/>
      </left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medium">
        <color rgb="FF000000"/>
      </right>
      <top style="medium"/>
      <bottom style="medium"/>
    </border>
    <border>
      <left/>
      <right style="medium"/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rgb="FF000000"/>
      </right>
      <top/>
      <bottom style="medium"/>
    </border>
    <border>
      <left/>
      <right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>
        <color indexed="63"/>
      </right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/>
      <top style="thin">
        <color rgb="FF000000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medium">
        <color rgb="FF000000"/>
      </right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thin"/>
      <right style="thin"/>
      <top>
        <color indexed="63"/>
      </top>
      <bottom style="medium"/>
    </border>
    <border>
      <left style="medium"/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/>
      <top style="medium"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9" fontId="62" fillId="0" borderId="0" applyBorder="0" applyProtection="0">
      <alignment/>
    </xf>
    <xf numFmtId="0" fontId="63" fillId="0" borderId="0" applyNumberFormat="0" applyBorder="0" applyProtection="0">
      <alignment horizontal="center"/>
    </xf>
    <xf numFmtId="0" fontId="63" fillId="0" borderId="0" applyNumberFormat="0" applyBorder="0" applyProtection="0">
      <alignment horizontal="center" textRotation="90"/>
    </xf>
    <xf numFmtId="0" fontId="64" fillId="0" borderId="0" applyNumberFormat="0" applyBorder="0" applyProtection="0">
      <alignment/>
    </xf>
    <xf numFmtId="179" fontId="64" fillId="0" borderId="0" applyBorder="0" applyProtection="0">
      <alignment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091"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right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10" xfId="0" applyFont="1" applyBorder="1" applyAlignment="1">
      <alignment horizontal="center"/>
    </xf>
    <xf numFmtId="0" fontId="85" fillId="0" borderId="11" xfId="0" applyFont="1" applyBorder="1" applyAlignment="1">
      <alignment/>
    </xf>
    <xf numFmtId="0" fontId="85" fillId="0" borderId="12" xfId="0" applyFont="1" applyBorder="1" applyAlignment="1">
      <alignment horizontal="center"/>
    </xf>
    <xf numFmtId="0" fontId="85" fillId="0" borderId="13" xfId="0" applyFont="1" applyBorder="1" applyAlignment="1">
      <alignment/>
    </xf>
    <xf numFmtId="0" fontId="85" fillId="0" borderId="11" xfId="0" applyFont="1" applyFill="1" applyBorder="1" applyAlignment="1">
      <alignment/>
    </xf>
    <xf numFmtId="0" fontId="85" fillId="0" borderId="11" xfId="0" applyFont="1" applyFill="1" applyBorder="1" applyAlignment="1">
      <alignment vertical="top" wrapText="1"/>
    </xf>
    <xf numFmtId="0" fontId="85" fillId="0" borderId="14" xfId="0" applyFont="1" applyBorder="1" applyAlignment="1">
      <alignment horizontal="center"/>
    </xf>
    <xf numFmtId="0" fontId="85" fillId="0" borderId="15" xfId="0" applyFont="1" applyFill="1" applyBorder="1" applyAlignment="1">
      <alignment/>
    </xf>
    <xf numFmtId="0" fontId="87" fillId="0" borderId="16" xfId="0" applyFont="1" applyBorder="1" applyAlignment="1">
      <alignment horizontal="center"/>
    </xf>
    <xf numFmtId="0" fontId="87" fillId="0" borderId="16" xfId="0" applyFont="1" applyFill="1" applyBorder="1" applyAlignment="1">
      <alignment horizontal="center"/>
    </xf>
    <xf numFmtId="0" fontId="88" fillId="0" borderId="16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87" fillId="0" borderId="17" xfId="0" applyFont="1" applyBorder="1" applyAlignment="1">
      <alignment horizontal="center"/>
    </xf>
    <xf numFmtId="0" fontId="87" fillId="0" borderId="18" xfId="0" applyFont="1" applyBorder="1" applyAlignment="1">
      <alignment horizontal="center"/>
    </xf>
    <xf numFmtId="0" fontId="85" fillId="0" borderId="13" xfId="0" applyFont="1" applyFill="1" applyBorder="1" applyAlignment="1">
      <alignment/>
    </xf>
    <xf numFmtId="0" fontId="82" fillId="0" borderId="19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0" fontId="82" fillId="0" borderId="22" xfId="0" applyFont="1" applyBorder="1" applyAlignment="1">
      <alignment horizontal="center"/>
    </xf>
    <xf numFmtId="0" fontId="89" fillId="0" borderId="21" xfId="0" applyFont="1" applyBorder="1" applyAlignment="1">
      <alignment horizontal="center"/>
    </xf>
    <xf numFmtId="0" fontId="82" fillId="0" borderId="21" xfId="0" applyFont="1" applyBorder="1" applyAlignment="1">
      <alignment/>
    </xf>
    <xf numFmtId="172" fontId="82" fillId="0" borderId="21" xfId="65" applyFont="1" applyBorder="1" applyAlignment="1">
      <alignment horizontal="center"/>
    </xf>
    <xf numFmtId="172" fontId="90" fillId="0" borderId="21" xfId="65" applyFont="1" applyBorder="1" applyAlignment="1">
      <alignment horizontal="center"/>
    </xf>
    <xf numFmtId="172" fontId="90" fillId="0" borderId="0" xfId="65" applyFont="1" applyAlignment="1">
      <alignment/>
    </xf>
    <xf numFmtId="172" fontId="82" fillId="0" borderId="23" xfId="65" applyFont="1" applyBorder="1" applyAlignment="1">
      <alignment horizontal="center"/>
    </xf>
    <xf numFmtId="172" fontId="82" fillId="0" borderId="24" xfId="65" applyFont="1" applyFill="1" applyBorder="1" applyAlignment="1">
      <alignment/>
    </xf>
    <xf numFmtId="172" fontId="82" fillId="0" borderId="25" xfId="65" applyFont="1" applyFill="1" applyBorder="1" applyAlignment="1">
      <alignment/>
    </xf>
    <xf numFmtId="0" fontId="82" fillId="0" borderId="26" xfId="0" applyFont="1" applyBorder="1" applyAlignment="1">
      <alignment horizontal="center"/>
    </xf>
    <xf numFmtId="0" fontId="82" fillId="0" borderId="23" xfId="0" applyFont="1" applyBorder="1" applyAlignment="1">
      <alignment/>
    </xf>
    <xf numFmtId="0" fontId="89" fillId="0" borderId="23" xfId="0" applyFont="1" applyBorder="1" applyAlignment="1">
      <alignment/>
    </xf>
    <xf numFmtId="172" fontId="82" fillId="0" borderId="21" xfId="65" applyFont="1" applyFill="1" applyBorder="1" applyAlignment="1">
      <alignment/>
    </xf>
    <xf numFmtId="0" fontId="91" fillId="0" borderId="23" xfId="0" applyFont="1" applyBorder="1" applyAlignment="1">
      <alignment horizontal="center"/>
    </xf>
    <xf numFmtId="0" fontId="91" fillId="0" borderId="21" xfId="0" applyFont="1" applyBorder="1" applyAlignment="1">
      <alignment horizontal="center"/>
    </xf>
    <xf numFmtId="0" fontId="89" fillId="0" borderId="19" xfId="0" applyFont="1" applyBorder="1" applyAlignment="1">
      <alignment/>
    </xf>
    <xf numFmtId="0" fontId="82" fillId="0" borderId="23" xfId="0" applyFont="1" applyBorder="1" applyAlignment="1">
      <alignment horizontal="right"/>
    </xf>
    <xf numFmtId="0" fontId="82" fillId="0" borderId="27" xfId="0" applyFont="1" applyBorder="1" applyAlignment="1">
      <alignment horizontal="center"/>
    </xf>
    <xf numFmtId="0" fontId="89" fillId="0" borderId="26" xfId="0" applyFont="1" applyBorder="1" applyAlignment="1">
      <alignment/>
    </xf>
    <xf numFmtId="0" fontId="89" fillId="0" borderId="26" xfId="0" applyFont="1" applyBorder="1" applyAlignment="1">
      <alignment horizontal="center"/>
    </xf>
    <xf numFmtId="0" fontId="82" fillId="0" borderId="21" xfId="0" applyFont="1" applyBorder="1" applyAlignment="1">
      <alignment horizontal="right"/>
    </xf>
    <xf numFmtId="0" fontId="82" fillId="0" borderId="0" xfId="0" applyFont="1" applyAlignment="1">
      <alignment horizontal="center"/>
    </xf>
    <xf numFmtId="0" fontId="92" fillId="0" borderId="0" xfId="0" applyFont="1" applyAlignment="1">
      <alignment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/>
    </xf>
    <xf numFmtId="178" fontId="92" fillId="0" borderId="0" xfId="0" applyNumberFormat="1" applyFont="1" applyFill="1" applyAlignment="1">
      <alignment/>
    </xf>
    <xf numFmtId="4" fontId="92" fillId="0" borderId="0" xfId="0" applyNumberFormat="1" applyFont="1" applyFill="1" applyAlignment="1">
      <alignment/>
    </xf>
    <xf numFmtId="4" fontId="92" fillId="0" borderId="0" xfId="0" applyNumberFormat="1" applyFont="1" applyFill="1" applyAlignment="1">
      <alignment/>
    </xf>
    <xf numFmtId="0" fontId="92" fillId="0" borderId="0" xfId="0" applyFont="1" applyFill="1" applyAlignment="1">
      <alignment horizontal="left"/>
    </xf>
    <xf numFmtId="4" fontId="92" fillId="0" borderId="0" xfId="65" applyNumberFormat="1" applyFont="1" applyFill="1" applyAlignment="1">
      <alignment horizontal="center"/>
    </xf>
    <xf numFmtId="172" fontId="82" fillId="0" borderId="0" xfId="0" applyNumberFormat="1" applyFont="1" applyAlignment="1">
      <alignment/>
    </xf>
    <xf numFmtId="172" fontId="82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85" fillId="0" borderId="28" xfId="0" applyFont="1" applyBorder="1" applyAlignment="1">
      <alignment horizontal="center"/>
    </xf>
    <xf numFmtId="0" fontId="85" fillId="0" borderId="29" xfId="0" applyFont="1" applyBorder="1" applyAlignment="1">
      <alignment horizontal="center"/>
    </xf>
    <xf numFmtId="0" fontId="85" fillId="0" borderId="29" xfId="0" applyFont="1" applyFill="1" applyBorder="1" applyAlignment="1">
      <alignment horizontal="center"/>
    </xf>
    <xf numFmtId="0" fontId="85" fillId="0" borderId="28" xfId="0" applyFont="1" applyFill="1" applyBorder="1" applyAlignment="1">
      <alignment horizontal="center"/>
    </xf>
    <xf numFmtId="0" fontId="85" fillId="0" borderId="30" xfId="0" applyFont="1" applyFill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85" fillId="0" borderId="15" xfId="0" applyFont="1" applyBorder="1" applyAlignment="1">
      <alignment/>
    </xf>
    <xf numFmtId="3" fontId="92" fillId="0" borderId="0" xfId="0" applyNumberFormat="1" applyFont="1" applyAlignment="1">
      <alignment/>
    </xf>
    <xf numFmtId="178" fontId="82" fillId="0" borderId="31" xfId="65" applyNumberFormat="1" applyFont="1" applyBorder="1" applyAlignment="1">
      <alignment/>
    </xf>
    <xf numFmtId="172" fontId="90" fillId="0" borderId="31" xfId="65" applyFont="1" applyBorder="1" applyAlignment="1">
      <alignment horizontal="center"/>
    </xf>
    <xf numFmtId="172" fontId="82" fillId="0" borderId="31" xfId="65" applyFont="1" applyBorder="1" applyAlignment="1">
      <alignment horizontal="center"/>
    </xf>
    <xf numFmtId="184" fontId="90" fillId="0" borderId="31" xfId="65" applyNumberFormat="1" applyFont="1" applyBorder="1" applyAlignment="1">
      <alignment/>
    </xf>
    <xf numFmtId="0" fontId="92" fillId="0" borderId="31" xfId="0" applyFont="1" applyFill="1" applyBorder="1" applyAlignment="1">
      <alignment horizontal="left"/>
    </xf>
    <xf numFmtId="4" fontId="92" fillId="0" borderId="31" xfId="65" applyNumberFormat="1" applyFont="1" applyFill="1" applyBorder="1" applyAlignment="1">
      <alignment horizontal="center"/>
    </xf>
    <xf numFmtId="4" fontId="92" fillId="0" borderId="31" xfId="65" applyNumberFormat="1" applyFont="1" applyFill="1" applyBorder="1" applyAlignment="1">
      <alignment horizontal="center" wrapText="1"/>
    </xf>
    <xf numFmtId="0" fontId="92" fillId="0" borderId="31" xfId="0" applyFont="1" applyFill="1" applyBorder="1" applyAlignment="1">
      <alignment horizontal="left" wrapText="1"/>
    </xf>
    <xf numFmtId="0" fontId="92" fillId="0" borderId="31" xfId="0" applyFont="1" applyFill="1" applyBorder="1" applyAlignment="1">
      <alignment/>
    </xf>
    <xf numFmtId="4" fontId="93" fillId="0" borderId="31" xfId="65" applyNumberFormat="1" applyFont="1" applyFill="1" applyBorder="1" applyAlignment="1">
      <alignment horizontal="center" wrapText="1"/>
    </xf>
    <xf numFmtId="0" fontId="94" fillId="0" borderId="31" xfId="0" applyFont="1" applyFill="1" applyBorder="1" applyAlignment="1">
      <alignment/>
    </xf>
    <xf numFmtId="0" fontId="94" fillId="0" borderId="31" xfId="0" applyFont="1" applyFill="1" applyBorder="1" applyAlignment="1">
      <alignment horizontal="left"/>
    </xf>
    <xf numFmtId="4" fontId="94" fillId="0" borderId="31" xfId="65" applyNumberFormat="1" applyFont="1" applyFill="1" applyBorder="1" applyAlignment="1">
      <alignment horizontal="center" wrapText="1"/>
    </xf>
    <xf numFmtId="4" fontId="94" fillId="0" borderId="31" xfId="65" applyNumberFormat="1" applyFont="1" applyFill="1" applyBorder="1" applyAlignment="1">
      <alignment horizontal="center"/>
    </xf>
    <xf numFmtId="0" fontId="94" fillId="0" borderId="32" xfId="0" applyFont="1" applyFill="1" applyBorder="1" applyAlignment="1">
      <alignment/>
    </xf>
    <xf numFmtId="0" fontId="94" fillId="0" borderId="33" xfId="0" applyFont="1" applyFill="1" applyBorder="1" applyAlignment="1">
      <alignment/>
    </xf>
    <xf numFmtId="0" fontId="94" fillId="0" borderId="34" xfId="0" applyFont="1" applyFill="1" applyBorder="1" applyAlignment="1">
      <alignment horizontal="right"/>
    </xf>
    <xf numFmtId="0" fontId="82" fillId="0" borderId="0" xfId="0" applyFont="1" applyFill="1" applyBorder="1" applyAlignment="1">
      <alignment horizontal="center"/>
    </xf>
    <xf numFmtId="0" fontId="92" fillId="0" borderId="31" xfId="0" applyFont="1" applyBorder="1" applyAlignment="1">
      <alignment/>
    </xf>
    <xf numFmtId="3" fontId="94" fillId="0" borderId="31" xfId="0" applyNumberFormat="1" applyFont="1" applyBorder="1" applyAlignment="1">
      <alignment horizontal="center"/>
    </xf>
    <xf numFmtId="0" fontId="82" fillId="0" borderId="26" xfId="0" applyFont="1" applyBorder="1" applyAlignment="1">
      <alignment horizontal="right"/>
    </xf>
    <xf numFmtId="172" fontId="82" fillId="0" borderId="35" xfId="65" applyFont="1" applyBorder="1" applyAlignment="1">
      <alignment horizontal="center"/>
    </xf>
    <xf numFmtId="0" fontId="82" fillId="0" borderId="31" xfId="0" applyFont="1" applyBorder="1" applyAlignment="1">
      <alignment horizontal="right"/>
    </xf>
    <xf numFmtId="0" fontId="82" fillId="0" borderId="31" xfId="0" applyFont="1" applyBorder="1" applyAlignment="1">
      <alignment horizontal="center"/>
    </xf>
    <xf numFmtId="0" fontId="82" fillId="0" borderId="31" xfId="0" applyFont="1" applyBorder="1" applyAlignment="1">
      <alignment/>
    </xf>
    <xf numFmtId="0" fontId="82" fillId="0" borderId="23" xfId="0" applyFont="1" applyBorder="1" applyAlignment="1">
      <alignment horizontal="center"/>
    </xf>
    <xf numFmtId="4" fontId="82" fillId="0" borderId="0" xfId="0" applyNumberFormat="1" applyFont="1" applyAlignment="1">
      <alignment/>
    </xf>
    <xf numFmtId="49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right"/>
    </xf>
    <xf numFmtId="4" fontId="90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2" fontId="82" fillId="0" borderId="0" xfId="0" applyNumberFormat="1" applyFont="1" applyAlignment="1">
      <alignment/>
    </xf>
    <xf numFmtId="2" fontId="82" fillId="0" borderId="21" xfId="0" applyNumberFormat="1" applyFont="1" applyBorder="1" applyAlignment="1">
      <alignment/>
    </xf>
    <xf numFmtId="173" fontId="82" fillId="0" borderId="21" xfId="0" applyNumberFormat="1" applyFont="1" applyBorder="1" applyAlignment="1">
      <alignment/>
    </xf>
    <xf numFmtId="173" fontId="82" fillId="0" borderId="0" xfId="0" applyNumberFormat="1" applyFont="1" applyAlignment="1">
      <alignment/>
    </xf>
    <xf numFmtId="3" fontId="90" fillId="0" borderId="36" xfId="0" applyNumberFormat="1" applyFont="1" applyBorder="1" applyAlignment="1">
      <alignment horizontal="center"/>
    </xf>
    <xf numFmtId="0" fontId="90" fillId="0" borderId="37" xfId="0" applyFont="1" applyBorder="1" applyAlignment="1">
      <alignment horizontal="center"/>
    </xf>
    <xf numFmtId="2" fontId="82" fillId="0" borderId="31" xfId="0" applyNumberFormat="1" applyFont="1" applyBorder="1" applyAlignment="1">
      <alignment horizontal="center"/>
    </xf>
    <xf numFmtId="173" fontId="82" fillId="0" borderId="31" xfId="0" applyNumberFormat="1" applyFont="1" applyBorder="1" applyAlignment="1">
      <alignment/>
    </xf>
    <xf numFmtId="2" fontId="82" fillId="0" borderId="0" xfId="0" applyNumberFormat="1" applyFont="1" applyBorder="1" applyAlignment="1">
      <alignment horizontal="center"/>
    </xf>
    <xf numFmtId="173" fontId="82" fillId="0" borderId="0" xfId="0" applyNumberFormat="1" applyFont="1" applyBorder="1" applyAlignment="1">
      <alignment/>
    </xf>
    <xf numFmtId="0" fontId="90" fillId="0" borderId="0" xfId="0" applyFont="1" applyAlignment="1">
      <alignment horizontal="right"/>
    </xf>
    <xf numFmtId="4" fontId="90" fillId="0" borderId="38" xfId="0" applyNumberFormat="1" applyFont="1" applyBorder="1" applyAlignment="1">
      <alignment/>
    </xf>
    <xf numFmtId="4" fontId="90" fillId="0" borderId="39" xfId="0" applyNumberFormat="1" applyFont="1" applyBorder="1" applyAlignment="1">
      <alignment/>
    </xf>
    <xf numFmtId="4" fontId="82" fillId="0" borderId="40" xfId="0" applyNumberFormat="1" applyFont="1" applyBorder="1" applyAlignment="1">
      <alignment/>
    </xf>
    <xf numFmtId="4" fontId="90" fillId="0" borderId="41" xfId="0" applyNumberFormat="1" applyFont="1" applyBorder="1" applyAlignment="1">
      <alignment/>
    </xf>
    <xf numFmtId="4" fontId="90" fillId="0" borderId="42" xfId="0" applyNumberFormat="1" applyFont="1" applyBorder="1" applyAlignment="1">
      <alignment/>
    </xf>
    <xf numFmtId="172" fontId="0" fillId="0" borderId="21" xfId="65" applyFont="1" applyFill="1" applyBorder="1" applyAlignment="1">
      <alignment/>
    </xf>
    <xf numFmtId="172" fontId="0" fillId="0" borderId="25" xfId="65" applyFont="1" applyFill="1" applyBorder="1" applyAlignment="1">
      <alignment/>
    </xf>
    <xf numFmtId="0" fontId="90" fillId="0" borderId="43" xfId="0" applyFont="1" applyBorder="1" applyAlignment="1">
      <alignment horizontal="center"/>
    </xf>
    <xf numFmtId="0" fontId="90" fillId="0" borderId="44" xfId="0" applyFont="1" applyBorder="1" applyAlignment="1">
      <alignment horizontal="center"/>
    </xf>
    <xf numFmtId="172" fontId="0" fillId="0" borderId="24" xfId="65" applyFont="1" applyFill="1" applyBorder="1" applyAlignment="1">
      <alignment/>
    </xf>
    <xf numFmtId="0" fontId="0" fillId="0" borderId="0" xfId="0" applyFont="1" applyAlignment="1">
      <alignment/>
    </xf>
    <xf numFmtId="3" fontId="89" fillId="0" borderId="45" xfId="0" applyNumberFormat="1" applyFont="1" applyBorder="1" applyAlignment="1">
      <alignment/>
    </xf>
    <xf numFmtId="174" fontId="82" fillId="0" borderId="21" xfId="0" applyNumberFormat="1" applyFont="1" applyBorder="1" applyAlignment="1">
      <alignment/>
    </xf>
    <xf numFmtId="2" fontId="90" fillId="0" borderId="31" xfId="0" applyNumberFormat="1" applyFont="1" applyBorder="1" applyAlignment="1">
      <alignment horizontal="center"/>
    </xf>
    <xf numFmtId="4" fontId="90" fillId="0" borderId="31" xfId="0" applyNumberFormat="1" applyFont="1" applyBorder="1" applyAlignment="1">
      <alignment horizontal="center"/>
    </xf>
    <xf numFmtId="172" fontId="82" fillId="0" borderId="0" xfId="65" applyFont="1" applyAlignment="1">
      <alignment/>
    </xf>
    <xf numFmtId="0" fontId="92" fillId="0" borderId="0" xfId="0" applyFont="1" applyBorder="1" applyAlignment="1">
      <alignment horizontal="center"/>
    </xf>
    <xf numFmtId="0" fontId="0" fillId="0" borderId="0" xfId="0" applyAlignment="1">
      <alignment/>
    </xf>
    <xf numFmtId="0" fontId="92" fillId="0" borderId="0" xfId="0" applyFont="1" applyAlignment="1">
      <alignment horizontal="right"/>
    </xf>
    <xf numFmtId="0" fontId="93" fillId="0" borderId="32" xfId="0" applyFont="1" applyBorder="1" applyAlignment="1">
      <alignment/>
    </xf>
    <xf numFmtId="0" fontId="92" fillId="0" borderId="32" xfId="0" applyFont="1" applyBorder="1" applyAlignment="1">
      <alignment horizontal="right"/>
    </xf>
    <xf numFmtId="0" fontId="94" fillId="0" borderId="32" xfId="0" applyFont="1" applyBorder="1" applyAlignment="1">
      <alignment horizontal="right"/>
    </xf>
    <xf numFmtId="0" fontId="93" fillId="0" borderId="46" xfId="0" applyFont="1" applyBorder="1" applyAlignment="1">
      <alignment/>
    </xf>
    <xf numFmtId="0" fontId="94" fillId="0" borderId="46" xfId="0" applyFont="1" applyBorder="1" applyAlignment="1">
      <alignment/>
    </xf>
    <xf numFmtId="0" fontId="92" fillId="0" borderId="46" xfId="0" applyFont="1" applyBorder="1" applyAlignment="1">
      <alignment horizontal="right"/>
    </xf>
    <xf numFmtId="0" fontId="92" fillId="0" borderId="46" xfId="0" applyFont="1" applyBorder="1" applyAlignment="1">
      <alignment/>
    </xf>
    <xf numFmtId="0" fontId="95" fillId="0" borderId="46" xfId="0" applyFont="1" applyBorder="1" applyAlignment="1">
      <alignment horizontal="right"/>
    </xf>
    <xf numFmtId="0" fontId="94" fillId="0" borderId="46" xfId="0" applyFont="1" applyBorder="1" applyAlignment="1">
      <alignment horizontal="right"/>
    </xf>
    <xf numFmtId="0" fontId="95" fillId="0" borderId="46" xfId="0" applyFont="1" applyBorder="1" applyAlignment="1">
      <alignment horizontal="center"/>
    </xf>
    <xf numFmtId="0" fontId="92" fillId="0" borderId="47" xfId="0" applyFont="1" applyBorder="1" applyAlignment="1">
      <alignment/>
    </xf>
    <xf numFmtId="0" fontId="92" fillId="0" borderId="48" xfId="0" applyFont="1" applyBorder="1" applyAlignment="1">
      <alignment horizontal="center"/>
    </xf>
    <xf numFmtId="0" fontId="92" fillId="0" borderId="49" xfId="0" applyFont="1" applyBorder="1" applyAlignment="1">
      <alignment horizontal="center"/>
    </xf>
    <xf numFmtId="174" fontId="86" fillId="0" borderId="0" xfId="0" applyNumberFormat="1" applyFont="1" applyAlignment="1">
      <alignment/>
    </xf>
    <xf numFmtId="0" fontId="90" fillId="0" borderId="0" xfId="0" applyFont="1" applyAlignment="1">
      <alignment/>
    </xf>
    <xf numFmtId="0" fontId="92" fillId="0" borderId="31" xfId="0" applyFont="1" applyFill="1" applyBorder="1" applyAlignment="1">
      <alignment/>
    </xf>
    <xf numFmtId="0" fontId="92" fillId="0" borderId="3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6" fillId="0" borderId="62" xfId="0" applyFont="1" applyBorder="1" applyAlignment="1">
      <alignment/>
    </xf>
    <xf numFmtId="0" fontId="0" fillId="0" borderId="51" xfId="0" applyBorder="1" applyAlignment="1">
      <alignment/>
    </xf>
    <xf numFmtId="0" fontId="0" fillId="0" borderId="63" xfId="0" applyBorder="1" applyAlignment="1">
      <alignment/>
    </xf>
    <xf numFmtId="0" fontId="0" fillId="0" borderId="55" xfId="0" applyFont="1" applyBorder="1" applyAlignment="1">
      <alignment/>
    </xf>
    <xf numFmtId="0" fontId="0" fillId="0" borderId="64" xfId="0" applyBorder="1" applyAlignment="1">
      <alignment/>
    </xf>
    <xf numFmtId="0" fontId="6" fillId="0" borderId="52" xfId="0" applyFont="1" applyFill="1" applyBorder="1" applyAlignment="1">
      <alignment horizontal="left"/>
    </xf>
    <xf numFmtId="0" fontId="6" fillId="0" borderId="6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66" xfId="0" applyBorder="1" applyAlignment="1">
      <alignment/>
    </xf>
    <xf numFmtId="2" fontId="0" fillId="0" borderId="53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2" fontId="7" fillId="0" borderId="66" xfId="0" applyNumberFormat="1" applyFont="1" applyBorder="1" applyAlignment="1">
      <alignment horizontal="center"/>
    </xf>
    <xf numFmtId="0" fontId="7" fillId="0" borderId="52" xfId="0" applyFont="1" applyBorder="1" applyAlignment="1">
      <alignment horizontal="right"/>
    </xf>
    <xf numFmtId="2" fontId="6" fillId="0" borderId="67" xfId="0" applyNumberFormat="1" applyFont="1" applyBorder="1" applyAlignment="1">
      <alignment horizontal="center"/>
    </xf>
    <xf numFmtId="2" fontId="6" fillId="0" borderId="68" xfId="0" applyNumberFormat="1" applyFont="1" applyBorder="1" applyAlignment="1">
      <alignment horizontal="center"/>
    </xf>
    <xf numFmtId="2" fontId="6" fillId="0" borderId="69" xfId="0" applyNumberFormat="1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6" fillId="0" borderId="63" xfId="0" applyNumberFormat="1" applyFont="1" applyBorder="1" applyAlignment="1">
      <alignment horizontal="center"/>
    </xf>
    <xf numFmtId="0" fontId="6" fillId="0" borderId="52" xfId="0" applyFont="1" applyBorder="1" applyAlignment="1">
      <alignment/>
    </xf>
    <xf numFmtId="0" fontId="0" fillId="0" borderId="0" xfId="0" applyBorder="1" applyAlignment="1">
      <alignment/>
    </xf>
    <xf numFmtId="2" fontId="6" fillId="0" borderId="70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58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72" fontId="92" fillId="0" borderId="0" xfId="65" applyFont="1" applyFill="1" applyAlignment="1">
      <alignment/>
    </xf>
    <xf numFmtId="4" fontId="92" fillId="0" borderId="31" xfId="0" applyNumberFormat="1" applyFont="1" applyFill="1" applyBorder="1" applyAlignment="1">
      <alignment/>
    </xf>
    <xf numFmtId="0" fontId="92" fillId="0" borderId="31" xfId="0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82" fillId="0" borderId="23" xfId="0" applyFont="1" applyFill="1" applyBorder="1" applyAlignment="1">
      <alignment/>
    </xf>
    <xf numFmtId="0" fontId="82" fillId="0" borderId="24" xfId="0" applyFont="1" applyFill="1" applyBorder="1" applyAlignment="1">
      <alignment/>
    </xf>
    <xf numFmtId="0" fontId="82" fillId="0" borderId="25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92" fillId="0" borderId="71" xfId="0" applyFont="1" applyFill="1" applyBorder="1" applyAlignment="1">
      <alignment horizontal="center"/>
    </xf>
    <xf numFmtId="173" fontId="94" fillId="0" borderId="72" xfId="0" applyNumberFormat="1" applyFont="1" applyFill="1" applyBorder="1" applyAlignment="1">
      <alignment/>
    </xf>
    <xf numFmtId="173" fontId="94" fillId="0" borderId="73" xfId="0" applyNumberFormat="1" applyFont="1" applyFill="1" applyBorder="1" applyAlignment="1">
      <alignment/>
    </xf>
    <xf numFmtId="0" fontId="92" fillId="0" borderId="74" xfId="0" applyFont="1" applyFill="1" applyBorder="1" applyAlignment="1">
      <alignment horizontal="center"/>
    </xf>
    <xf numFmtId="0" fontId="92" fillId="0" borderId="75" xfId="0" applyFont="1" applyFill="1" applyBorder="1" applyAlignment="1">
      <alignment horizontal="center"/>
    </xf>
    <xf numFmtId="173" fontId="92" fillId="0" borderId="75" xfId="0" applyNumberFormat="1" applyFont="1" applyFill="1" applyBorder="1" applyAlignment="1">
      <alignment horizontal="right"/>
    </xf>
    <xf numFmtId="2" fontId="92" fillId="0" borderId="0" xfId="0" applyNumberFormat="1" applyFont="1" applyAlignment="1">
      <alignment/>
    </xf>
    <xf numFmtId="2" fontId="85" fillId="0" borderId="0" xfId="0" applyNumberFormat="1" applyFont="1" applyAlignment="1">
      <alignment/>
    </xf>
    <xf numFmtId="0" fontId="92" fillId="0" borderId="46" xfId="0" applyFont="1" applyBorder="1" applyAlignment="1">
      <alignment horizontal="right" vertical="justify"/>
    </xf>
    <xf numFmtId="175" fontId="92" fillId="0" borderId="0" xfId="65" applyNumberFormat="1" applyFont="1" applyAlignment="1">
      <alignment/>
    </xf>
    <xf numFmtId="4" fontId="92" fillId="0" borderId="31" xfId="0" applyNumberFormat="1" applyFont="1" applyBorder="1" applyAlignment="1">
      <alignment/>
    </xf>
    <xf numFmtId="4" fontId="94" fillId="0" borderId="31" xfId="0" applyNumberFormat="1" applyFont="1" applyBorder="1" applyAlignment="1">
      <alignment horizontal="center"/>
    </xf>
    <xf numFmtId="4" fontId="86" fillId="0" borderId="0" xfId="0" applyNumberFormat="1" applyFont="1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180" fontId="85" fillId="0" borderId="0" xfId="0" applyNumberFormat="1" applyFont="1" applyAlignment="1">
      <alignment horizontal="right"/>
    </xf>
    <xf numFmtId="0" fontId="85" fillId="0" borderId="0" xfId="0" applyFont="1" applyAlignment="1">
      <alignment horizontal="right"/>
    </xf>
    <xf numFmtId="0" fontId="90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2" fillId="0" borderId="0" xfId="0" applyFont="1" applyBorder="1" applyAlignment="1">
      <alignment horizontal="right"/>
    </xf>
    <xf numFmtId="4" fontId="92" fillId="0" borderId="0" xfId="0" applyNumberFormat="1" applyFont="1" applyAlignment="1">
      <alignment/>
    </xf>
    <xf numFmtId="0" fontId="87" fillId="0" borderId="76" xfId="0" applyFont="1" applyBorder="1" applyAlignment="1">
      <alignment horizontal="center"/>
    </xf>
    <xf numFmtId="0" fontId="87" fillId="0" borderId="77" xfId="0" applyFont="1" applyBorder="1" applyAlignment="1">
      <alignment horizontal="center"/>
    </xf>
    <xf numFmtId="0" fontId="88" fillId="0" borderId="78" xfId="0" applyFont="1" applyFill="1" applyBorder="1" applyAlignment="1">
      <alignment horizontal="center"/>
    </xf>
    <xf numFmtId="0" fontId="87" fillId="0" borderId="79" xfId="0" applyFont="1" applyFill="1" applyBorder="1" applyAlignment="1">
      <alignment horizontal="center"/>
    </xf>
    <xf numFmtId="0" fontId="88" fillId="0" borderId="80" xfId="0" applyFont="1" applyFill="1" applyBorder="1" applyAlignment="1">
      <alignment horizontal="center"/>
    </xf>
    <xf numFmtId="0" fontId="87" fillId="0" borderId="81" xfId="0" applyFont="1" applyBorder="1" applyAlignment="1">
      <alignment horizontal="center"/>
    </xf>
    <xf numFmtId="0" fontId="88" fillId="0" borderId="82" xfId="0" applyFont="1" applyFill="1" applyBorder="1" applyAlignment="1">
      <alignment horizontal="center"/>
    </xf>
    <xf numFmtId="0" fontId="85" fillId="0" borderId="83" xfId="0" applyFont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2" fontId="86" fillId="0" borderId="0" xfId="0" applyNumberFormat="1" applyFont="1" applyBorder="1" applyAlignment="1">
      <alignment horizontal="center"/>
    </xf>
    <xf numFmtId="0" fontId="87" fillId="0" borderId="0" xfId="0" applyFont="1" applyAlignment="1">
      <alignment horizontal="right"/>
    </xf>
    <xf numFmtId="0" fontId="8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88" fillId="0" borderId="0" xfId="0" applyFont="1" applyAlignment="1">
      <alignment horizontal="center"/>
    </xf>
    <xf numFmtId="180" fontId="87" fillId="0" borderId="0" xfId="0" applyNumberFormat="1" applyFont="1" applyAlignment="1">
      <alignment horizontal="right"/>
    </xf>
    <xf numFmtId="2" fontId="88" fillId="0" borderId="34" xfId="0" applyNumberFormat="1" applyFont="1" applyBorder="1" applyAlignment="1">
      <alignment horizontal="center"/>
    </xf>
    <xf numFmtId="2" fontId="88" fillId="0" borderId="31" xfId="0" applyNumberFormat="1" applyFont="1" applyBorder="1" applyAlignment="1">
      <alignment horizontal="center"/>
    </xf>
    <xf numFmtId="172" fontId="87" fillId="0" borderId="0" xfId="65" applyFont="1" applyAlignment="1">
      <alignment/>
    </xf>
    <xf numFmtId="0" fontId="62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89" fillId="0" borderId="0" xfId="0" applyFont="1" applyFill="1" applyBorder="1" applyAlignment="1">
      <alignment/>
    </xf>
    <xf numFmtId="172" fontId="82" fillId="0" borderId="0" xfId="65" applyFont="1" applyBorder="1" applyAlignment="1">
      <alignment horizontal="center"/>
    </xf>
    <xf numFmtId="172" fontId="90" fillId="0" borderId="0" xfId="65" applyFont="1" applyBorder="1" applyAlignment="1">
      <alignment horizontal="center"/>
    </xf>
    <xf numFmtId="172" fontId="82" fillId="0" borderId="84" xfId="65" applyFont="1" applyFill="1" applyBorder="1" applyAlignment="1">
      <alignment horizontal="center"/>
    </xf>
    <xf numFmtId="172" fontId="82" fillId="0" borderId="85" xfId="65" applyFont="1" applyFill="1" applyBorder="1" applyAlignment="1">
      <alignment horizontal="center"/>
    </xf>
    <xf numFmtId="184" fontId="90" fillId="0" borderId="0" xfId="6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4" fontId="92" fillId="0" borderId="0" xfId="0" applyNumberFormat="1" applyFont="1" applyBorder="1" applyAlignment="1">
      <alignment/>
    </xf>
    <xf numFmtId="4" fontId="9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180" fontId="85" fillId="0" borderId="0" xfId="0" applyNumberFormat="1" applyFont="1" applyAlignment="1">
      <alignment horizontal="right"/>
    </xf>
    <xf numFmtId="0" fontId="85" fillId="0" borderId="0" xfId="0" applyFont="1" applyAlignment="1">
      <alignment horizontal="right"/>
    </xf>
    <xf numFmtId="10" fontId="92" fillId="0" borderId="0" xfId="0" applyNumberFormat="1" applyFont="1" applyAlignment="1">
      <alignment/>
    </xf>
    <xf numFmtId="193" fontId="90" fillId="0" borderId="21" xfId="65" applyNumberFormat="1" applyFont="1" applyFill="1" applyBorder="1" applyAlignment="1">
      <alignment/>
    </xf>
    <xf numFmtId="0" fontId="87" fillId="0" borderId="78" xfId="0" applyFont="1" applyFill="1" applyBorder="1" applyAlignment="1">
      <alignment horizontal="center"/>
    </xf>
    <xf numFmtId="0" fontId="87" fillId="0" borderId="0" xfId="0" applyFont="1" applyBorder="1" applyAlignment="1">
      <alignment horizontal="center"/>
    </xf>
    <xf numFmtId="2" fontId="88" fillId="0" borderId="86" xfId="0" applyNumberFormat="1" applyFont="1" applyBorder="1" applyAlignment="1">
      <alignment horizontal="center"/>
    </xf>
    <xf numFmtId="2" fontId="88" fillId="0" borderId="35" xfId="0" applyNumberFormat="1" applyFont="1" applyBorder="1" applyAlignment="1">
      <alignment horizontal="center"/>
    </xf>
    <xf numFmtId="2" fontId="88" fillId="0" borderId="73" xfId="0" applyNumberFormat="1" applyFont="1" applyBorder="1" applyAlignment="1">
      <alignment horizontal="center"/>
    </xf>
    <xf numFmtId="172" fontId="88" fillId="0" borderId="87" xfId="65" applyFont="1" applyBorder="1" applyAlignment="1">
      <alignment horizontal="center"/>
    </xf>
    <xf numFmtId="172" fontId="88" fillId="0" borderId="88" xfId="65" applyFont="1" applyBorder="1" applyAlignment="1">
      <alignment horizontal="center"/>
    </xf>
    <xf numFmtId="172" fontId="88" fillId="0" borderId="0" xfId="65" applyFont="1" applyBorder="1" applyAlignment="1">
      <alignment horizontal="center"/>
    </xf>
    <xf numFmtId="0" fontId="88" fillId="0" borderId="89" xfId="0" applyFont="1" applyFill="1" applyBorder="1" applyAlignment="1">
      <alignment horizontal="center"/>
    </xf>
    <xf numFmtId="0" fontId="88" fillId="0" borderId="46" xfId="0" applyFont="1" applyFill="1" applyBorder="1" applyAlignment="1">
      <alignment horizontal="center"/>
    </xf>
    <xf numFmtId="0" fontId="88" fillId="0" borderId="90" xfId="0" applyFont="1" applyFill="1" applyBorder="1" applyAlignment="1">
      <alignment horizontal="center"/>
    </xf>
    <xf numFmtId="2" fontId="88" fillId="0" borderId="47" xfId="0" applyNumberFormat="1" applyFont="1" applyBorder="1" applyAlignment="1">
      <alignment horizontal="right"/>
    </xf>
    <xf numFmtId="2" fontId="88" fillId="0" borderId="91" xfId="0" applyNumberFormat="1" applyFont="1" applyBorder="1" applyAlignment="1">
      <alignment horizontal="right"/>
    </xf>
    <xf numFmtId="172" fontId="87" fillId="0" borderId="92" xfId="65" applyFont="1" applyBorder="1" applyAlignment="1">
      <alignment horizontal="center"/>
    </xf>
    <xf numFmtId="172" fontId="88" fillId="0" borderId="73" xfId="65" applyFont="1" applyBorder="1" applyAlignment="1">
      <alignment horizontal="center"/>
    </xf>
    <xf numFmtId="0" fontId="88" fillId="0" borderId="93" xfId="0" applyFont="1" applyFill="1" applyBorder="1" applyAlignment="1">
      <alignment horizontal="center"/>
    </xf>
    <xf numFmtId="0" fontId="88" fillId="0" borderId="32" xfId="0" applyFont="1" applyFill="1" applyBorder="1" applyAlignment="1">
      <alignment horizontal="center"/>
    </xf>
    <xf numFmtId="2" fontId="88" fillId="0" borderId="94" xfId="0" applyNumberFormat="1" applyFont="1" applyBorder="1" applyAlignment="1">
      <alignment horizontal="right"/>
    </xf>
    <xf numFmtId="172" fontId="87" fillId="0" borderId="95" xfId="65" applyFont="1" applyBorder="1" applyAlignment="1">
      <alignment horizontal="center"/>
    </xf>
    <xf numFmtId="172" fontId="87" fillId="0" borderId="96" xfId="65" applyFont="1" applyBorder="1" applyAlignment="1">
      <alignment horizontal="center"/>
    </xf>
    <xf numFmtId="172" fontId="87" fillId="0" borderId="97" xfId="65" applyFont="1" applyBorder="1" applyAlignment="1">
      <alignment horizontal="center"/>
    </xf>
    <xf numFmtId="2" fontId="87" fillId="0" borderId="31" xfId="0" applyNumberFormat="1" applyFont="1" applyBorder="1" applyAlignment="1">
      <alignment horizontal="center"/>
    </xf>
    <xf numFmtId="172" fontId="87" fillId="0" borderId="31" xfId="65" applyFont="1" applyBorder="1" applyAlignment="1">
      <alignment horizontal="center"/>
    </xf>
    <xf numFmtId="172" fontId="62" fillId="0" borderId="0" xfId="65" applyFont="1" applyFill="1" applyBorder="1" applyAlignment="1">
      <alignment/>
    </xf>
    <xf numFmtId="172" fontId="87" fillId="0" borderId="0" xfId="65" applyFont="1" applyBorder="1" applyAlignment="1">
      <alignment horizontal="center"/>
    </xf>
    <xf numFmtId="172" fontId="62" fillId="0" borderId="0" xfId="65" applyFont="1" applyAlignment="1">
      <alignment/>
    </xf>
    <xf numFmtId="172" fontId="87" fillId="0" borderId="46" xfId="65" applyFont="1" applyBorder="1" applyAlignment="1">
      <alignment horizontal="center"/>
    </xf>
    <xf numFmtId="172" fontId="88" fillId="0" borderId="90" xfId="65" applyFont="1" applyBorder="1" applyAlignment="1">
      <alignment horizontal="center"/>
    </xf>
    <xf numFmtId="172" fontId="88" fillId="0" borderId="98" xfId="65" applyFont="1" applyBorder="1" applyAlignment="1">
      <alignment horizontal="center"/>
    </xf>
    <xf numFmtId="172" fontId="87" fillId="0" borderId="0" xfId="0" applyNumberFormat="1" applyFont="1" applyAlignment="1">
      <alignment/>
    </xf>
    <xf numFmtId="0" fontId="90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94" fillId="0" borderId="0" xfId="0" applyFont="1" applyFill="1" applyAlignment="1">
      <alignment horizontal="center"/>
    </xf>
    <xf numFmtId="0" fontId="92" fillId="0" borderId="0" xfId="0" applyFont="1" applyFill="1" applyAlignment="1">
      <alignment horizontal="center"/>
    </xf>
    <xf numFmtId="0" fontId="96" fillId="0" borderId="0" xfId="0" applyFont="1" applyFill="1" applyBorder="1" applyAlignment="1">
      <alignment/>
    </xf>
    <xf numFmtId="4" fontId="85" fillId="0" borderId="0" xfId="0" applyNumberFormat="1" applyFont="1" applyAlignment="1">
      <alignment/>
    </xf>
    <xf numFmtId="172" fontId="88" fillId="0" borderId="74" xfId="65" applyFont="1" applyBorder="1" applyAlignment="1">
      <alignment horizontal="center"/>
    </xf>
    <xf numFmtId="172" fontId="87" fillId="0" borderId="31" xfId="65" applyFont="1" applyBorder="1" applyAlignment="1">
      <alignment/>
    </xf>
    <xf numFmtId="172" fontId="0" fillId="0" borderId="31" xfId="65" applyFont="1" applyBorder="1" applyAlignment="1">
      <alignment/>
    </xf>
    <xf numFmtId="172" fontId="0" fillId="0" borderId="31" xfId="65" applyFont="1" applyBorder="1" applyAlignment="1">
      <alignment/>
    </xf>
    <xf numFmtId="172" fontId="0" fillId="0" borderId="35" xfId="65" applyFont="1" applyBorder="1" applyAlignment="1">
      <alignment/>
    </xf>
    <xf numFmtId="172" fontId="86" fillId="0" borderId="75" xfId="65" applyFont="1" applyBorder="1" applyAlignment="1">
      <alignment horizontal="center"/>
    </xf>
    <xf numFmtId="172" fontId="88" fillId="0" borderId="32" xfId="65" applyFont="1" applyBorder="1" applyAlignment="1">
      <alignment horizontal="center"/>
    </xf>
    <xf numFmtId="172" fontId="0" fillId="0" borderId="34" xfId="65" applyFont="1" applyBorder="1" applyAlignment="1">
      <alignment/>
    </xf>
    <xf numFmtId="172" fontId="86" fillId="0" borderId="99" xfId="65" applyFont="1" applyBorder="1" applyAlignment="1">
      <alignment horizontal="center"/>
    </xf>
    <xf numFmtId="172" fontId="87" fillId="0" borderId="34" xfId="65" applyFont="1" applyBorder="1" applyAlignment="1">
      <alignment/>
    </xf>
    <xf numFmtId="2" fontId="87" fillId="0" borderId="92" xfId="0" applyNumberFormat="1" applyFont="1" applyBorder="1" applyAlignment="1">
      <alignment horizontal="center"/>
    </xf>
    <xf numFmtId="172" fontId="88" fillId="0" borderId="100" xfId="65" applyFont="1" applyBorder="1" applyAlignment="1">
      <alignment horizontal="center"/>
    </xf>
    <xf numFmtId="2" fontId="88" fillId="0" borderId="101" xfId="0" applyNumberFormat="1" applyFont="1" applyBorder="1" applyAlignment="1">
      <alignment horizontal="center"/>
    </xf>
    <xf numFmtId="2" fontId="88" fillId="0" borderId="92" xfId="0" applyNumberFormat="1" applyFont="1" applyBorder="1" applyAlignment="1">
      <alignment horizontal="center"/>
    </xf>
    <xf numFmtId="172" fontId="88" fillId="0" borderId="95" xfId="65" applyFont="1" applyBorder="1" applyAlignment="1">
      <alignment horizontal="center"/>
    </xf>
    <xf numFmtId="172" fontId="88" fillId="0" borderId="92" xfId="65" applyFont="1" applyBorder="1" applyAlignment="1">
      <alignment horizontal="center"/>
    </xf>
    <xf numFmtId="0" fontId="87" fillId="0" borderId="102" xfId="0" applyFont="1" applyBorder="1" applyAlignment="1">
      <alignment horizontal="center"/>
    </xf>
    <xf numFmtId="0" fontId="87" fillId="0" borderId="103" xfId="0" applyFont="1" applyBorder="1" applyAlignment="1">
      <alignment horizontal="center"/>
    </xf>
    <xf numFmtId="0" fontId="87" fillId="0" borderId="104" xfId="0" applyFont="1" applyBorder="1" applyAlignment="1">
      <alignment horizontal="center"/>
    </xf>
    <xf numFmtId="0" fontId="87" fillId="0" borderId="105" xfId="0" applyFont="1" applyBorder="1" applyAlignment="1">
      <alignment horizontal="center"/>
    </xf>
    <xf numFmtId="0" fontId="87" fillId="0" borderId="104" xfId="0" applyFont="1" applyFill="1" applyBorder="1" applyAlignment="1">
      <alignment horizontal="center"/>
    </xf>
    <xf numFmtId="0" fontId="88" fillId="0" borderId="104" xfId="0" applyFont="1" applyFill="1" applyBorder="1" applyAlignment="1">
      <alignment horizontal="center"/>
    </xf>
    <xf numFmtId="2" fontId="87" fillId="0" borderId="104" xfId="0" applyNumberFormat="1" applyFont="1" applyBorder="1" applyAlignment="1">
      <alignment horizontal="right"/>
    </xf>
    <xf numFmtId="2" fontId="88" fillId="0" borderId="106" xfId="0" applyNumberFormat="1" applyFont="1" applyBorder="1" applyAlignment="1">
      <alignment horizontal="right"/>
    </xf>
    <xf numFmtId="2" fontId="88" fillId="0" borderId="103" xfId="0" applyNumberFormat="1" applyFont="1" applyBorder="1" applyAlignment="1">
      <alignment horizontal="right"/>
    </xf>
    <xf numFmtId="193" fontId="88" fillId="0" borderId="0" xfId="65" applyNumberFormat="1" applyFont="1" applyAlignment="1">
      <alignment/>
    </xf>
    <xf numFmtId="172" fontId="88" fillId="0" borderId="0" xfId="65" applyFont="1" applyAlignment="1">
      <alignment/>
    </xf>
    <xf numFmtId="193" fontId="82" fillId="0" borderId="21" xfId="65" applyNumberFormat="1" applyFont="1" applyBorder="1" applyAlignment="1">
      <alignment horizontal="center"/>
    </xf>
    <xf numFmtId="172" fontId="85" fillId="0" borderId="0" xfId="65" applyFont="1" applyAlignment="1">
      <alignment/>
    </xf>
    <xf numFmtId="4" fontId="90" fillId="0" borderId="107" xfId="0" applyNumberFormat="1" applyFont="1" applyBorder="1" applyAlignment="1">
      <alignment/>
    </xf>
    <xf numFmtId="4" fontId="90" fillId="0" borderId="84" xfId="0" applyNumberFormat="1" applyFont="1" applyBorder="1" applyAlignment="1">
      <alignment/>
    </xf>
    <xf numFmtId="0" fontId="90" fillId="0" borderId="108" xfId="0" applyFont="1" applyBorder="1" applyAlignment="1">
      <alignment horizontal="center"/>
    </xf>
    <xf numFmtId="3" fontId="90" fillId="0" borderId="0" xfId="0" applyNumberFormat="1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4" fontId="82" fillId="0" borderId="0" xfId="0" applyNumberFormat="1" applyFont="1" applyBorder="1" applyAlignment="1">
      <alignment/>
    </xf>
    <xf numFmtId="4" fontId="90" fillId="0" borderId="0" xfId="0" applyNumberFormat="1" applyFont="1" applyBorder="1" applyAlignment="1">
      <alignment/>
    </xf>
    <xf numFmtId="0" fontId="0" fillId="0" borderId="109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72" fontId="85" fillId="0" borderId="0" xfId="0" applyNumberFormat="1" applyFont="1" applyAlignment="1">
      <alignment/>
    </xf>
    <xf numFmtId="10" fontId="85" fillId="0" borderId="0" xfId="0" applyNumberFormat="1" applyFont="1" applyAlignment="1">
      <alignment horizontal="center"/>
    </xf>
    <xf numFmtId="4" fontId="82" fillId="0" borderId="0" xfId="0" applyNumberFormat="1" applyFont="1" applyAlignment="1">
      <alignment horizontal="center"/>
    </xf>
    <xf numFmtId="2" fontId="82" fillId="0" borderId="0" xfId="0" applyNumberFormat="1" applyFont="1" applyAlignment="1">
      <alignment horizontal="center"/>
    </xf>
    <xf numFmtId="172" fontId="90" fillId="0" borderId="31" xfId="65" applyFont="1" applyBorder="1" applyAlignment="1">
      <alignment/>
    </xf>
    <xf numFmtId="193" fontId="82" fillId="33" borderId="21" xfId="65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/>
    </xf>
    <xf numFmtId="3" fontId="92" fillId="0" borderId="0" xfId="0" applyNumberFormat="1" applyFont="1" applyBorder="1" applyAlignment="1">
      <alignment horizontal="center"/>
    </xf>
    <xf numFmtId="3" fontId="93" fillId="0" borderId="0" xfId="0" applyNumberFormat="1" applyFont="1" applyBorder="1" applyAlignment="1">
      <alignment horizontal="center"/>
    </xf>
    <xf numFmtId="174" fontId="93" fillId="0" borderId="0" xfId="65" applyNumberFormat="1" applyFont="1" applyBorder="1" applyAlignment="1">
      <alignment/>
    </xf>
    <xf numFmtId="3" fontId="95" fillId="0" borderId="0" xfId="0" applyNumberFormat="1" applyFont="1" applyBorder="1" applyAlignment="1">
      <alignment horizontal="center"/>
    </xf>
    <xf numFmtId="3" fontId="95" fillId="0" borderId="0" xfId="0" applyNumberFormat="1" applyFont="1" applyFill="1" applyBorder="1" applyAlignment="1">
      <alignment horizontal="center"/>
    </xf>
    <xf numFmtId="3" fontId="94" fillId="0" borderId="0" xfId="0" applyNumberFormat="1" applyFont="1" applyBorder="1" applyAlignment="1">
      <alignment horizontal="center"/>
    </xf>
    <xf numFmtId="0" fontId="92" fillId="0" borderId="0" xfId="0" applyFont="1" applyBorder="1" applyAlignment="1">
      <alignment/>
    </xf>
    <xf numFmtId="0" fontId="93" fillId="0" borderId="48" xfId="0" applyFont="1" applyFill="1" applyBorder="1" applyAlignment="1">
      <alignment/>
    </xf>
    <xf numFmtId="3" fontId="90" fillId="0" borderId="111" xfId="0" applyNumberFormat="1" applyFont="1" applyBorder="1" applyAlignment="1">
      <alignment horizontal="center"/>
    </xf>
    <xf numFmtId="172" fontId="89" fillId="0" borderId="31" xfId="65" applyFont="1" applyBorder="1" applyAlignment="1">
      <alignment horizontal="center"/>
    </xf>
    <xf numFmtId="172" fontId="62" fillId="0" borderId="0" xfId="0" applyNumberFormat="1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92" fillId="0" borderId="21" xfId="0" applyFont="1" applyFill="1" applyBorder="1" applyAlignment="1">
      <alignment horizontal="center"/>
    </xf>
    <xf numFmtId="0" fontId="92" fillId="0" borderId="0" xfId="0" applyFont="1" applyFill="1" applyAlignment="1">
      <alignment horizontal="center"/>
    </xf>
    <xf numFmtId="0" fontId="92" fillId="0" borderId="31" xfId="0" applyFont="1" applyFill="1" applyBorder="1" applyAlignment="1">
      <alignment/>
    </xf>
    <xf numFmtId="0" fontId="97" fillId="0" borderId="0" xfId="0" applyFont="1" applyFill="1" applyAlignment="1">
      <alignment horizontal="center"/>
    </xf>
    <xf numFmtId="193" fontId="90" fillId="0" borderId="21" xfId="65" applyNumberFormat="1" applyFont="1" applyBorder="1" applyAlignment="1">
      <alignment horizontal="center"/>
    </xf>
    <xf numFmtId="4" fontId="82" fillId="0" borderId="21" xfId="65" applyNumberFormat="1" applyFont="1" applyBorder="1" applyAlignment="1">
      <alignment horizontal="center"/>
    </xf>
    <xf numFmtId="4" fontId="82" fillId="0" borderId="21" xfId="0" applyNumberFormat="1" applyFont="1" applyBorder="1" applyAlignment="1">
      <alignment horizontal="center"/>
    </xf>
    <xf numFmtId="4" fontId="82" fillId="0" borderId="26" xfId="0" applyNumberFormat="1" applyFont="1" applyBorder="1" applyAlignment="1">
      <alignment horizontal="center"/>
    </xf>
    <xf numFmtId="4" fontId="90" fillId="0" borderId="21" xfId="65" applyNumberFormat="1" applyFont="1" applyBorder="1" applyAlignment="1">
      <alignment horizontal="center"/>
    </xf>
    <xf numFmtId="4" fontId="82" fillId="0" borderId="23" xfId="65" applyNumberFormat="1" applyFont="1" applyFill="1" applyBorder="1" applyAlignment="1">
      <alignment/>
    </xf>
    <xf numFmtId="4" fontId="82" fillId="0" borderId="24" xfId="65" applyNumberFormat="1" applyFont="1" applyFill="1" applyBorder="1" applyAlignment="1">
      <alignment/>
    </xf>
    <xf numFmtId="4" fontId="82" fillId="0" borderId="26" xfId="65" applyNumberFormat="1" applyFont="1" applyBorder="1" applyAlignment="1">
      <alignment horizontal="center"/>
    </xf>
    <xf numFmtId="4" fontId="88" fillId="0" borderId="25" xfId="65" applyNumberFormat="1" applyFont="1" applyBorder="1" applyAlignment="1">
      <alignment horizontal="center"/>
    </xf>
    <xf numFmtId="4" fontId="90" fillId="0" borderId="23" xfId="65" applyNumberFormat="1" applyFont="1" applyBorder="1" applyAlignment="1">
      <alignment horizontal="center"/>
    </xf>
    <xf numFmtId="0" fontId="94" fillId="0" borderId="0" xfId="0" applyFont="1" applyFill="1" applyBorder="1" applyAlignment="1">
      <alignment horizontal="center" vertical="center"/>
    </xf>
    <xf numFmtId="173" fontId="94" fillId="0" borderId="74" xfId="0" applyNumberFormat="1" applyFont="1" applyFill="1" applyBorder="1" applyAlignment="1">
      <alignment/>
    </xf>
    <xf numFmtId="172" fontId="94" fillId="0" borderId="74" xfId="65" applyFont="1" applyFill="1" applyBorder="1" applyAlignment="1">
      <alignment/>
    </xf>
    <xf numFmtId="172" fontId="94" fillId="0" borderId="72" xfId="65" applyFont="1" applyFill="1" applyBorder="1" applyAlignment="1">
      <alignment/>
    </xf>
    <xf numFmtId="172" fontId="94" fillId="0" borderId="73" xfId="65" applyFont="1" applyFill="1" applyBorder="1" applyAlignment="1">
      <alignment/>
    </xf>
    <xf numFmtId="172" fontId="90" fillId="33" borderId="31" xfId="65" applyFont="1" applyFill="1" applyBorder="1" applyAlignment="1">
      <alignment horizontal="center"/>
    </xf>
    <xf numFmtId="184" fontId="90" fillId="33" borderId="31" xfId="65" applyNumberFormat="1" applyFont="1" applyFill="1" applyBorder="1" applyAlignment="1">
      <alignment/>
    </xf>
    <xf numFmtId="200" fontId="82" fillId="0" borderId="21" xfId="65" applyNumberFormat="1" applyFont="1" applyBorder="1" applyAlignment="1">
      <alignment horizontal="center"/>
    </xf>
    <xf numFmtId="1" fontId="82" fillId="0" borderId="92" xfId="0" applyNumberFormat="1" applyFont="1" applyFill="1" applyBorder="1" applyAlignment="1">
      <alignment horizontal="center" vertical="justify"/>
    </xf>
    <xf numFmtId="0" fontId="92" fillId="0" borderId="112" xfId="0" applyFont="1" applyFill="1" applyBorder="1" applyAlignment="1">
      <alignment horizontal="center"/>
    </xf>
    <xf numFmtId="0" fontId="93" fillId="0" borderId="21" xfId="0" applyFont="1" applyFill="1" applyBorder="1" applyAlignment="1">
      <alignment horizontal="center"/>
    </xf>
    <xf numFmtId="0" fontId="92" fillId="0" borderId="21" xfId="0" applyFont="1" applyFill="1" applyBorder="1" applyAlignment="1">
      <alignment/>
    </xf>
    <xf numFmtId="0" fontId="92" fillId="0" borderId="113" xfId="0" applyFont="1" applyFill="1" applyBorder="1" applyAlignment="1">
      <alignment/>
    </xf>
    <xf numFmtId="0" fontId="92" fillId="0" borderId="23" xfId="0" applyFont="1" applyFill="1" applyBorder="1" applyAlignment="1">
      <alignment/>
    </xf>
    <xf numFmtId="2" fontId="92" fillId="0" borderId="21" xfId="0" applyNumberFormat="1" applyFont="1" applyFill="1" applyBorder="1" applyAlignment="1">
      <alignment horizontal="center"/>
    </xf>
    <xf numFmtId="173" fontId="92" fillId="0" borderId="21" xfId="0" applyNumberFormat="1" applyFont="1" applyFill="1" applyBorder="1" applyAlignment="1">
      <alignment/>
    </xf>
    <xf numFmtId="3" fontId="92" fillId="0" borderId="21" xfId="0" applyNumberFormat="1" applyFont="1" applyFill="1" applyBorder="1" applyAlignment="1">
      <alignment/>
    </xf>
    <xf numFmtId="3" fontId="92" fillId="0" borderId="113" xfId="0" applyNumberFormat="1" applyFont="1" applyFill="1" applyBorder="1" applyAlignment="1">
      <alignment/>
    </xf>
    <xf numFmtId="172" fontId="92" fillId="0" borderId="23" xfId="65" applyFont="1" applyFill="1" applyBorder="1" applyAlignment="1">
      <alignment/>
    </xf>
    <xf numFmtId="172" fontId="92" fillId="0" borderId="21" xfId="65" applyFont="1" applyFill="1" applyBorder="1" applyAlignment="1">
      <alignment/>
    </xf>
    <xf numFmtId="172" fontId="92" fillId="0" borderId="113" xfId="65" applyFont="1" applyFill="1" applyBorder="1" applyAlignment="1">
      <alignment/>
    </xf>
    <xf numFmtId="0" fontId="92" fillId="0" borderId="26" xfId="0" applyFont="1" applyFill="1" applyBorder="1" applyAlignment="1">
      <alignment horizontal="center"/>
    </xf>
    <xf numFmtId="2" fontId="92" fillId="0" borderId="26" xfId="0" applyNumberFormat="1" applyFont="1" applyFill="1" applyBorder="1" applyAlignment="1">
      <alignment horizontal="center"/>
    </xf>
    <xf numFmtId="173" fontId="92" fillId="0" borderId="26" xfId="0" applyNumberFormat="1" applyFont="1" applyFill="1" applyBorder="1" applyAlignment="1">
      <alignment/>
    </xf>
    <xf numFmtId="3" fontId="92" fillId="0" borderId="26" xfId="0" applyNumberFormat="1" applyFont="1" applyFill="1" applyBorder="1" applyAlignment="1">
      <alignment/>
    </xf>
    <xf numFmtId="3" fontId="92" fillId="0" borderId="114" xfId="0" applyNumberFormat="1" applyFont="1" applyFill="1" applyBorder="1" applyAlignment="1">
      <alignment/>
    </xf>
    <xf numFmtId="172" fontId="92" fillId="0" borderId="19" xfId="65" applyFont="1" applyFill="1" applyBorder="1" applyAlignment="1">
      <alignment/>
    </xf>
    <xf numFmtId="172" fontId="92" fillId="0" borderId="114" xfId="65" applyFont="1" applyFill="1" applyBorder="1" applyAlignment="1">
      <alignment/>
    </xf>
    <xf numFmtId="0" fontId="93" fillId="0" borderId="115" xfId="0" applyFont="1" applyFill="1" applyBorder="1" applyAlignment="1">
      <alignment horizontal="center"/>
    </xf>
    <xf numFmtId="2" fontId="92" fillId="0" borderId="115" xfId="0" applyNumberFormat="1" applyFont="1" applyFill="1" applyBorder="1" applyAlignment="1">
      <alignment horizontal="center"/>
    </xf>
    <xf numFmtId="173" fontId="92" fillId="0" borderId="115" xfId="0" applyNumberFormat="1" applyFont="1" applyFill="1" applyBorder="1" applyAlignment="1">
      <alignment/>
    </xf>
    <xf numFmtId="1" fontId="94" fillId="0" borderId="115" xfId="0" applyNumberFormat="1" applyFont="1" applyFill="1" applyBorder="1" applyAlignment="1">
      <alignment/>
    </xf>
    <xf numFmtId="1" fontId="94" fillId="0" borderId="116" xfId="0" applyNumberFormat="1" applyFont="1" applyFill="1" applyBorder="1" applyAlignment="1">
      <alignment/>
    </xf>
    <xf numFmtId="1" fontId="94" fillId="0" borderId="117" xfId="0" applyNumberFormat="1" applyFont="1" applyFill="1" applyBorder="1" applyAlignment="1">
      <alignment/>
    </xf>
    <xf numFmtId="172" fontId="94" fillId="0" borderId="117" xfId="65" applyFont="1" applyFill="1" applyBorder="1" applyAlignment="1">
      <alignment/>
    </xf>
    <xf numFmtId="172" fontId="94" fillId="0" borderId="115" xfId="65" applyFont="1" applyFill="1" applyBorder="1" applyAlignment="1">
      <alignment/>
    </xf>
    <xf numFmtId="172" fontId="94" fillId="0" borderId="116" xfId="65" applyFont="1" applyFill="1" applyBorder="1" applyAlignment="1">
      <alignment/>
    </xf>
    <xf numFmtId="2" fontId="92" fillId="0" borderId="22" xfId="0" applyNumberFormat="1" applyFont="1" applyFill="1" applyBorder="1" applyAlignment="1">
      <alignment horizontal="center"/>
    </xf>
    <xf numFmtId="173" fontId="92" fillId="0" borderId="27" xfId="0" applyNumberFormat="1" applyFont="1" applyFill="1" applyBorder="1" applyAlignment="1">
      <alignment/>
    </xf>
    <xf numFmtId="2" fontId="92" fillId="0" borderId="25" xfId="0" applyNumberFormat="1" applyFont="1" applyFill="1" applyBorder="1" applyAlignment="1">
      <alignment horizontal="center"/>
    </xf>
    <xf numFmtId="172" fontId="92" fillId="0" borderId="26" xfId="65" applyFont="1" applyFill="1" applyBorder="1" applyAlignment="1">
      <alignment/>
    </xf>
    <xf numFmtId="172" fontId="92" fillId="0" borderId="31" xfId="65" applyFont="1" applyFill="1" applyBorder="1" applyAlignment="1">
      <alignment/>
    </xf>
    <xf numFmtId="2" fontId="92" fillId="0" borderId="85" xfId="0" applyNumberFormat="1" applyFont="1" applyFill="1" applyBorder="1" applyAlignment="1">
      <alignment horizontal="center"/>
    </xf>
    <xf numFmtId="0" fontId="92" fillId="0" borderId="118" xfId="0" applyFont="1" applyFill="1" applyBorder="1" applyAlignment="1">
      <alignment horizontal="center"/>
    </xf>
    <xf numFmtId="0" fontId="93" fillId="0" borderId="92" xfId="0" applyFont="1" applyFill="1" applyBorder="1" applyAlignment="1">
      <alignment horizontal="center"/>
    </xf>
    <xf numFmtId="0" fontId="95" fillId="0" borderId="119" xfId="0" applyFont="1" applyFill="1" applyBorder="1" applyAlignment="1">
      <alignment horizontal="center"/>
    </xf>
    <xf numFmtId="1" fontId="92" fillId="0" borderId="120" xfId="0" applyNumberFormat="1" applyFont="1" applyFill="1" applyBorder="1" applyAlignment="1">
      <alignment horizontal="center"/>
    </xf>
    <xf numFmtId="1" fontId="92" fillId="0" borderId="121" xfId="0" applyNumberFormat="1" applyFont="1" applyFill="1" applyBorder="1" applyAlignment="1">
      <alignment horizontal="center"/>
    </xf>
    <xf numFmtId="1" fontId="92" fillId="0" borderId="0" xfId="0" applyNumberFormat="1" applyFont="1" applyFill="1" applyBorder="1" applyAlignment="1">
      <alignment horizontal="center"/>
    </xf>
    <xf numFmtId="172" fontId="92" fillId="0" borderId="112" xfId="65" applyFont="1" applyFill="1" applyBorder="1" applyAlignment="1">
      <alignment/>
    </xf>
    <xf numFmtId="175" fontId="94" fillId="0" borderId="122" xfId="65" applyNumberFormat="1" applyFont="1" applyFill="1" applyBorder="1" applyAlignment="1">
      <alignment vertical="center"/>
    </xf>
    <xf numFmtId="175" fontId="94" fillId="0" borderId="123" xfId="65" applyNumberFormat="1" applyFont="1" applyFill="1" applyBorder="1" applyAlignment="1">
      <alignment vertical="center"/>
    </xf>
    <xf numFmtId="0" fontId="93" fillId="0" borderId="35" xfId="0" applyFont="1" applyFill="1" applyBorder="1" applyAlignment="1">
      <alignment horizontal="center"/>
    </xf>
    <xf numFmtId="3" fontId="94" fillId="0" borderId="35" xfId="0" applyNumberFormat="1" applyFont="1" applyFill="1" applyBorder="1" applyAlignment="1">
      <alignment/>
    </xf>
    <xf numFmtId="3" fontId="94" fillId="0" borderId="124" xfId="0" applyNumberFormat="1" applyFont="1" applyFill="1" applyBorder="1" applyAlignment="1">
      <alignment/>
    </xf>
    <xf numFmtId="3" fontId="94" fillId="0" borderId="125" xfId="0" applyNumberFormat="1" applyFont="1" applyFill="1" applyBorder="1" applyAlignment="1">
      <alignment/>
    </xf>
    <xf numFmtId="172" fontId="92" fillId="0" borderId="75" xfId="65" applyFont="1" applyFill="1" applyBorder="1" applyAlignment="1">
      <alignment/>
    </xf>
    <xf numFmtId="172" fontId="94" fillId="0" borderId="126" xfId="65" applyFont="1" applyFill="1" applyBorder="1" applyAlignment="1">
      <alignment/>
    </xf>
    <xf numFmtId="172" fontId="94" fillId="0" borderId="127" xfId="65" applyFont="1" applyFill="1" applyBorder="1" applyAlignment="1">
      <alignment/>
    </xf>
    <xf numFmtId="194" fontId="92" fillId="0" borderId="0" xfId="65" applyNumberFormat="1" applyFont="1" applyFill="1" applyAlignment="1">
      <alignment/>
    </xf>
    <xf numFmtId="194" fontId="92" fillId="0" borderId="0" xfId="65" applyNumberFormat="1" applyFont="1" applyFill="1" applyAlignment="1">
      <alignment/>
    </xf>
    <xf numFmtId="0" fontId="93" fillId="0" borderId="26" xfId="0" applyFont="1" applyFill="1" applyBorder="1" applyAlignment="1">
      <alignment horizontal="center"/>
    </xf>
    <xf numFmtId="3" fontId="92" fillId="0" borderId="23" xfId="0" applyNumberFormat="1" applyFont="1" applyFill="1" applyBorder="1" applyAlignment="1">
      <alignment/>
    </xf>
    <xf numFmtId="3" fontId="94" fillId="0" borderId="21" xfId="0" applyNumberFormat="1" applyFont="1" applyFill="1" applyBorder="1" applyAlignment="1">
      <alignment/>
    </xf>
    <xf numFmtId="0" fontId="92" fillId="0" borderId="27" xfId="0" applyFont="1" applyFill="1" applyBorder="1" applyAlignment="1">
      <alignment horizontal="center"/>
    </xf>
    <xf numFmtId="4" fontId="94" fillId="0" borderId="21" xfId="0" applyNumberFormat="1" applyFont="1" applyFill="1" applyBorder="1" applyAlignment="1">
      <alignment/>
    </xf>
    <xf numFmtId="4" fontId="94" fillId="0" borderId="0" xfId="0" applyNumberFormat="1" applyFont="1" applyFill="1" applyBorder="1" applyAlignment="1">
      <alignment/>
    </xf>
    <xf numFmtId="3" fontId="97" fillId="0" borderId="0" xfId="0" applyNumberFormat="1" applyFont="1" applyFill="1" applyAlignment="1">
      <alignment/>
    </xf>
    <xf numFmtId="0" fontId="82" fillId="0" borderId="112" xfId="0" applyFont="1" applyFill="1" applyBorder="1" applyAlignment="1">
      <alignment horizontal="center"/>
    </xf>
    <xf numFmtId="0" fontId="82" fillId="0" borderId="115" xfId="0" applyFont="1" applyFill="1" applyBorder="1" applyAlignment="1">
      <alignment horizontal="center" vertical="justify"/>
    </xf>
    <xf numFmtId="0" fontId="82" fillId="0" borderId="128" xfId="0" applyFont="1" applyFill="1" applyBorder="1" applyAlignment="1">
      <alignment horizontal="center"/>
    </xf>
    <xf numFmtId="0" fontId="82" fillId="0" borderId="129" xfId="0" applyFont="1" applyFill="1" applyBorder="1" applyAlignment="1">
      <alignment horizontal="center"/>
    </xf>
    <xf numFmtId="0" fontId="82" fillId="0" borderId="130" xfId="0" applyFont="1" applyFill="1" applyBorder="1" applyAlignment="1">
      <alignment horizontal="center"/>
    </xf>
    <xf numFmtId="0" fontId="82" fillId="0" borderId="131" xfId="0" applyFont="1" applyFill="1" applyBorder="1" applyAlignment="1">
      <alignment horizontal="center"/>
    </xf>
    <xf numFmtId="0" fontId="85" fillId="0" borderId="132" xfId="0" applyFont="1" applyFill="1" applyBorder="1" applyAlignment="1">
      <alignment horizontal="center"/>
    </xf>
    <xf numFmtId="0" fontId="85" fillId="0" borderId="133" xfId="0" applyFont="1" applyFill="1" applyBorder="1" applyAlignment="1">
      <alignment horizontal="center"/>
    </xf>
    <xf numFmtId="0" fontId="98" fillId="0" borderId="134" xfId="0" applyFont="1" applyFill="1" applyBorder="1" applyAlignment="1">
      <alignment/>
    </xf>
    <xf numFmtId="0" fontId="85" fillId="0" borderId="134" xfId="0" applyFont="1" applyFill="1" applyBorder="1" applyAlignment="1">
      <alignment/>
    </xf>
    <xf numFmtId="0" fontId="85" fillId="0" borderId="135" xfId="0" applyFont="1" applyFill="1" applyBorder="1" applyAlignment="1">
      <alignment/>
    </xf>
    <xf numFmtId="0" fontId="85" fillId="0" borderId="136" xfId="0" applyFont="1" applyFill="1" applyBorder="1" applyAlignment="1">
      <alignment/>
    </xf>
    <xf numFmtId="0" fontId="98" fillId="0" borderId="137" xfId="0" applyFont="1" applyFill="1" applyBorder="1" applyAlignment="1">
      <alignment/>
    </xf>
    <xf numFmtId="0" fontId="85" fillId="0" borderId="138" xfId="0" applyFont="1" applyFill="1" applyBorder="1" applyAlignment="1">
      <alignment/>
    </xf>
    <xf numFmtId="0" fontId="98" fillId="0" borderId="92" xfId="0" applyFont="1" applyFill="1" applyBorder="1" applyAlignment="1">
      <alignment/>
    </xf>
    <xf numFmtId="0" fontId="99" fillId="0" borderId="139" xfId="0" applyFont="1" applyFill="1" applyBorder="1" applyAlignment="1">
      <alignment/>
    </xf>
    <xf numFmtId="0" fontId="85" fillId="0" borderId="140" xfId="0" applyFont="1" applyFill="1" applyBorder="1" applyAlignment="1">
      <alignment/>
    </xf>
    <xf numFmtId="0" fontId="98" fillId="0" borderId="141" xfId="0" applyFont="1" applyFill="1" applyBorder="1" applyAlignment="1">
      <alignment/>
    </xf>
    <xf numFmtId="0" fontId="85" fillId="0" borderId="142" xfId="0" applyFont="1" applyFill="1" applyBorder="1" applyAlignment="1">
      <alignment/>
    </xf>
    <xf numFmtId="0" fontId="98" fillId="0" borderId="26" xfId="0" applyFont="1" applyFill="1" applyBorder="1" applyAlignment="1">
      <alignment/>
    </xf>
    <xf numFmtId="0" fontId="85" fillId="0" borderId="21" xfId="0" applyFont="1" applyFill="1" applyBorder="1" applyAlignment="1">
      <alignment vertical="justify"/>
    </xf>
    <xf numFmtId="0" fontId="85" fillId="0" borderId="0" xfId="0" applyFont="1" applyFill="1" applyAlignment="1">
      <alignment vertical="justify"/>
    </xf>
    <xf numFmtId="0" fontId="85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 horizontal="center"/>
    </xf>
    <xf numFmtId="0" fontId="100" fillId="0" borderId="0" xfId="0" applyFont="1" applyFill="1" applyBorder="1" applyAlignment="1">
      <alignment/>
    </xf>
    <xf numFmtId="0" fontId="85" fillId="0" borderId="47" xfId="0" applyFont="1" applyBorder="1" applyAlignment="1">
      <alignment horizontal="center"/>
    </xf>
    <xf numFmtId="0" fontId="85" fillId="0" borderId="91" xfId="0" applyFont="1" applyBorder="1" applyAlignment="1">
      <alignment horizontal="center"/>
    </xf>
    <xf numFmtId="0" fontId="98" fillId="0" borderId="143" xfId="0" applyFont="1" applyFill="1" applyBorder="1" applyAlignment="1">
      <alignment/>
    </xf>
    <xf numFmtId="0" fontId="98" fillId="0" borderId="144" xfId="0" applyFont="1" applyFill="1" applyBorder="1" applyAlignment="1">
      <alignment/>
    </xf>
    <xf numFmtId="3" fontId="98" fillId="0" borderId="31" xfId="0" applyNumberFormat="1" applyFont="1" applyBorder="1" applyAlignment="1">
      <alignment horizontal="center"/>
    </xf>
    <xf numFmtId="0" fontId="85" fillId="0" borderId="90" xfId="0" applyFont="1" applyBorder="1" applyAlignment="1">
      <alignment horizontal="center"/>
    </xf>
    <xf numFmtId="3" fontId="86" fillId="0" borderId="31" xfId="0" applyNumberFormat="1" applyFont="1" applyBorder="1" applyAlignment="1">
      <alignment horizontal="center"/>
    </xf>
    <xf numFmtId="3" fontId="85" fillId="0" borderId="31" xfId="0" applyNumberFormat="1" applyFont="1" applyBorder="1" applyAlignment="1">
      <alignment horizontal="center"/>
    </xf>
    <xf numFmtId="3" fontId="85" fillId="0" borderId="90" xfId="0" applyNumberFormat="1" applyFont="1" applyBorder="1" applyAlignment="1">
      <alignment horizontal="center"/>
    </xf>
    <xf numFmtId="3" fontId="98" fillId="0" borderId="90" xfId="0" applyNumberFormat="1" applyFont="1" applyBorder="1" applyAlignment="1">
      <alignment horizontal="center"/>
    </xf>
    <xf numFmtId="174" fontId="98" fillId="0" borderId="90" xfId="65" applyNumberFormat="1" applyFont="1" applyBorder="1" applyAlignment="1">
      <alignment/>
    </xf>
    <xf numFmtId="3" fontId="99" fillId="0" borderId="90" xfId="0" applyNumberFormat="1" applyFont="1" applyBorder="1" applyAlignment="1">
      <alignment horizontal="center"/>
    </xf>
    <xf numFmtId="3" fontId="86" fillId="0" borderId="90" xfId="0" applyNumberFormat="1" applyFont="1" applyBorder="1" applyAlignment="1">
      <alignment horizontal="center"/>
    </xf>
    <xf numFmtId="3" fontId="99" fillId="0" borderId="31" xfId="0" applyNumberFormat="1" applyFont="1" applyBorder="1" applyAlignment="1">
      <alignment horizontal="center"/>
    </xf>
    <xf numFmtId="0" fontId="85" fillId="0" borderId="145" xfId="0" applyFont="1" applyBorder="1" applyAlignment="1">
      <alignment/>
    </xf>
    <xf numFmtId="0" fontId="85" fillId="0" borderId="91" xfId="0" applyFont="1" applyBorder="1" applyAlignment="1">
      <alignment/>
    </xf>
    <xf numFmtId="0" fontId="87" fillId="0" borderId="0" xfId="0" applyFont="1" applyAlignment="1">
      <alignment horizontal="center"/>
    </xf>
    <xf numFmtId="0" fontId="87" fillId="0" borderId="26" xfId="0" applyFont="1" applyBorder="1" applyAlignment="1">
      <alignment horizontal="center"/>
    </xf>
    <xf numFmtId="0" fontId="87" fillId="0" borderId="146" xfId="0" applyFont="1" applyFill="1" applyBorder="1" applyAlignment="1">
      <alignment horizontal="center"/>
    </xf>
    <xf numFmtId="0" fontId="88" fillId="0" borderId="147" xfId="0" applyFont="1" applyBorder="1" applyAlignment="1">
      <alignment horizontal="center"/>
    </xf>
    <xf numFmtId="180" fontId="87" fillId="0" borderId="147" xfId="0" applyNumberFormat="1" applyFont="1" applyFill="1" applyBorder="1" applyAlignment="1">
      <alignment horizontal="center"/>
    </xf>
    <xf numFmtId="180" fontId="87" fillId="0" borderId="0" xfId="0" applyNumberFormat="1" applyFont="1" applyAlignment="1">
      <alignment horizontal="center"/>
    </xf>
    <xf numFmtId="1" fontId="87" fillId="0" borderId="14" xfId="0" applyNumberFormat="1" applyFont="1" applyBorder="1" applyAlignment="1">
      <alignment horizontal="center"/>
    </xf>
    <xf numFmtId="2" fontId="87" fillId="0" borderId="14" xfId="0" applyNumberFormat="1" applyFont="1" applyBorder="1" applyAlignment="1">
      <alignment horizontal="center"/>
    </xf>
    <xf numFmtId="172" fontId="87" fillId="0" borderId="148" xfId="65" applyFont="1" applyBorder="1" applyAlignment="1">
      <alignment horizontal="center"/>
    </xf>
    <xf numFmtId="172" fontId="88" fillId="0" borderId="148" xfId="65" applyFont="1" applyBorder="1" applyAlignment="1">
      <alignment horizontal="center"/>
    </xf>
    <xf numFmtId="172" fontId="87" fillId="0" borderId="27" xfId="65" applyFont="1" applyBorder="1" applyAlignment="1">
      <alignment horizontal="center"/>
    </xf>
    <xf numFmtId="1" fontId="87" fillId="0" borderId="10" xfId="0" applyNumberFormat="1" applyFont="1" applyBorder="1" applyAlignment="1">
      <alignment horizontal="center"/>
    </xf>
    <xf numFmtId="1" fontId="87" fillId="0" borderId="12" xfId="0" applyNumberFormat="1" applyFont="1" applyBorder="1" applyAlignment="1">
      <alignment horizontal="center"/>
    </xf>
    <xf numFmtId="2" fontId="87" fillId="0" borderId="149" xfId="0" applyNumberFormat="1" applyFont="1" applyBorder="1" applyAlignment="1">
      <alignment horizontal="center"/>
    </xf>
    <xf numFmtId="172" fontId="87" fillId="0" borderId="150" xfId="65" applyFont="1" applyBorder="1" applyAlignment="1">
      <alignment horizontal="center"/>
    </xf>
    <xf numFmtId="172" fontId="88" fillId="0" borderId="150" xfId="65" applyFont="1" applyBorder="1" applyAlignment="1">
      <alignment horizontal="center"/>
    </xf>
    <xf numFmtId="172" fontId="87" fillId="0" borderId="119" xfId="65" applyFont="1" applyBorder="1" applyAlignment="1">
      <alignment horizontal="center"/>
    </xf>
    <xf numFmtId="1" fontId="87" fillId="0" borderId="83" xfId="0" applyNumberFormat="1" applyFont="1" applyBorder="1" applyAlignment="1">
      <alignment horizontal="center"/>
    </xf>
    <xf numFmtId="172" fontId="88" fillId="0" borderId="151" xfId="65" applyFont="1" applyBorder="1" applyAlignment="1">
      <alignment horizontal="center"/>
    </xf>
    <xf numFmtId="0" fontId="88" fillId="0" borderId="0" xfId="0" applyFont="1" applyAlignment="1">
      <alignment/>
    </xf>
    <xf numFmtId="0" fontId="87" fillId="0" borderId="0" xfId="0" applyFont="1" applyAlignment="1">
      <alignment/>
    </xf>
    <xf numFmtId="193" fontId="87" fillId="0" borderId="0" xfId="65" applyNumberFormat="1" applyFont="1" applyAlignment="1">
      <alignment/>
    </xf>
    <xf numFmtId="10" fontId="87" fillId="0" borderId="0" xfId="0" applyNumberFormat="1" applyFont="1" applyAlignment="1">
      <alignment horizontal="center"/>
    </xf>
    <xf numFmtId="0" fontId="85" fillId="0" borderId="79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104" xfId="0" applyFont="1" applyBorder="1" applyAlignment="1">
      <alignment horizontal="center"/>
    </xf>
    <xf numFmtId="172" fontId="85" fillId="0" borderId="0" xfId="65" applyFont="1" applyBorder="1" applyAlignment="1">
      <alignment horizontal="center"/>
    </xf>
    <xf numFmtId="0" fontId="84" fillId="0" borderId="0" xfId="0" applyFont="1" applyFill="1" applyAlignment="1">
      <alignment/>
    </xf>
    <xf numFmtId="0" fontId="9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4" fillId="0" borderId="26" xfId="0" applyFont="1" applyFill="1" applyBorder="1" applyAlignment="1">
      <alignment/>
    </xf>
    <xf numFmtId="0" fontId="84" fillId="0" borderId="26" xfId="0" applyFont="1" applyFill="1" applyBorder="1" applyAlignment="1">
      <alignment horizontal="center"/>
    </xf>
    <xf numFmtId="0" fontId="84" fillId="0" borderId="119" xfId="0" applyFont="1" applyFill="1" applyBorder="1" applyAlignment="1">
      <alignment/>
    </xf>
    <xf numFmtId="0" fontId="84" fillId="0" borderId="119" xfId="0" applyFont="1" applyFill="1" applyBorder="1" applyAlignment="1">
      <alignment horizontal="center"/>
    </xf>
    <xf numFmtId="0" fontId="84" fillId="0" borderId="120" xfId="0" applyFont="1" applyFill="1" applyBorder="1" applyAlignment="1">
      <alignment horizontal="center"/>
    </xf>
    <xf numFmtId="0" fontId="84" fillId="0" borderId="27" xfId="0" applyFont="1" applyFill="1" applyBorder="1" applyAlignment="1">
      <alignment/>
    </xf>
    <xf numFmtId="0" fontId="84" fillId="0" borderId="27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0" fontId="84" fillId="0" borderId="19" xfId="0" applyFont="1" applyFill="1" applyBorder="1" applyAlignment="1">
      <alignment/>
    </xf>
    <xf numFmtId="4" fontId="84" fillId="0" borderId="26" xfId="0" applyNumberFormat="1" applyFont="1" applyFill="1" applyBorder="1" applyAlignment="1">
      <alignment horizontal="center"/>
    </xf>
    <xf numFmtId="172" fontId="84" fillId="0" borderId="85" xfId="65" applyFont="1" applyFill="1" applyBorder="1" applyAlignment="1">
      <alignment horizontal="center"/>
    </xf>
    <xf numFmtId="0" fontId="84" fillId="0" borderId="20" xfId="0" applyFont="1" applyFill="1" applyBorder="1" applyAlignment="1">
      <alignment/>
    </xf>
    <xf numFmtId="172" fontId="84" fillId="0" borderId="22" xfId="65" applyFont="1" applyFill="1" applyBorder="1" applyAlignment="1">
      <alignment horizontal="center"/>
    </xf>
    <xf numFmtId="0" fontId="84" fillId="0" borderId="152" xfId="0" applyFont="1" applyFill="1" applyBorder="1" applyAlignment="1">
      <alignment horizontal="center"/>
    </xf>
    <xf numFmtId="172" fontId="84" fillId="0" borderId="26" xfId="65" applyFont="1" applyFill="1" applyBorder="1" applyAlignment="1">
      <alignment horizontal="center"/>
    </xf>
    <xf numFmtId="0" fontId="97" fillId="0" borderId="20" xfId="0" applyFont="1" applyFill="1" applyBorder="1" applyAlignment="1">
      <alignment horizontal="right"/>
    </xf>
    <xf numFmtId="172" fontId="86" fillId="0" borderId="27" xfId="65" applyFont="1" applyFill="1" applyBorder="1" applyAlignment="1">
      <alignment horizontal="center"/>
    </xf>
    <xf numFmtId="0" fontId="97" fillId="0" borderId="27" xfId="0" applyFont="1" applyFill="1" applyBorder="1" applyAlignment="1">
      <alignment horizontal="center"/>
    </xf>
    <xf numFmtId="172" fontId="84" fillId="33" borderId="85" xfId="65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5" fillId="0" borderId="31" xfId="0" applyFont="1" applyFill="1" applyBorder="1" applyAlignment="1">
      <alignment horizontal="center"/>
    </xf>
    <xf numFmtId="4" fontId="85" fillId="0" borderId="31" xfId="0" applyNumberFormat="1" applyFont="1" applyFill="1" applyBorder="1" applyAlignment="1">
      <alignment horizontal="center"/>
    </xf>
    <xf numFmtId="172" fontId="85" fillId="0" borderId="31" xfId="65" applyFont="1" applyFill="1" applyBorder="1" applyAlignment="1">
      <alignment horizontal="center"/>
    </xf>
    <xf numFmtId="0" fontId="85" fillId="0" borderId="153" xfId="0" applyFont="1" applyFill="1" applyBorder="1" applyAlignment="1">
      <alignment vertical="justify"/>
    </xf>
    <xf numFmtId="0" fontId="85" fillId="0" borderId="154" xfId="0" applyFont="1" applyFill="1" applyBorder="1" applyAlignment="1">
      <alignment vertical="justify"/>
    </xf>
    <xf numFmtId="0" fontId="85" fillId="0" borderId="45" xfId="0" applyFont="1" applyFill="1" applyBorder="1" applyAlignment="1">
      <alignment vertical="justify"/>
    </xf>
    <xf numFmtId="4" fontId="85" fillId="0" borderId="92" xfId="0" applyNumberFormat="1" applyFont="1" applyFill="1" applyBorder="1" applyAlignment="1">
      <alignment horizontal="center"/>
    </xf>
    <xf numFmtId="4" fontId="85" fillId="0" borderId="35" xfId="0" applyNumberFormat="1" applyFont="1" applyFill="1" applyBorder="1" applyAlignment="1">
      <alignment horizontal="center"/>
    </xf>
    <xf numFmtId="172" fontId="85" fillId="0" borderId="31" xfId="65" applyFont="1" applyFill="1" applyBorder="1" applyAlignment="1">
      <alignment/>
    </xf>
    <xf numFmtId="172" fontId="85" fillId="0" borderId="35" xfId="65" applyFont="1" applyFill="1" applyBorder="1" applyAlignment="1">
      <alignment/>
    </xf>
    <xf numFmtId="172" fontId="85" fillId="0" borderId="75" xfId="65" applyFont="1" applyFill="1" applyBorder="1" applyAlignment="1">
      <alignment/>
    </xf>
    <xf numFmtId="0" fontId="85" fillId="0" borderId="126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172" fontId="85" fillId="0" borderId="92" xfId="65" applyFont="1" applyFill="1" applyBorder="1" applyAlignment="1">
      <alignment/>
    </xf>
    <xf numFmtId="4" fontId="85" fillId="0" borderId="75" xfId="0" applyNumberFormat="1" applyFont="1" applyFill="1" applyBorder="1" applyAlignment="1">
      <alignment horizontal="center"/>
    </xf>
    <xf numFmtId="0" fontId="85" fillId="0" borderId="0" xfId="0" applyFont="1" applyFill="1" applyAlignment="1">
      <alignment horizontal="right"/>
    </xf>
    <xf numFmtId="172" fontId="90" fillId="0" borderId="0" xfId="65" applyFont="1" applyBorder="1" applyAlignment="1">
      <alignment/>
    </xf>
    <xf numFmtId="3" fontId="90" fillId="0" borderId="155" xfId="0" applyNumberFormat="1" applyFont="1" applyBorder="1" applyAlignment="1">
      <alignment horizontal="center"/>
    </xf>
    <xf numFmtId="3" fontId="90" fillId="0" borderId="149" xfId="0" applyNumberFormat="1" applyFont="1" applyBorder="1" applyAlignment="1">
      <alignment horizontal="center"/>
    </xf>
    <xf numFmtId="4" fontId="82" fillId="0" borderId="23" xfId="65" applyNumberFormat="1" applyFont="1" applyBorder="1" applyAlignment="1">
      <alignment horizontal="center"/>
    </xf>
    <xf numFmtId="4" fontId="82" fillId="0" borderId="31" xfId="65" applyNumberFormat="1" applyFont="1" applyBorder="1" applyAlignment="1">
      <alignment horizontal="center"/>
    </xf>
    <xf numFmtId="4" fontId="90" fillId="0" borderId="31" xfId="65" applyNumberFormat="1" applyFont="1" applyBorder="1" applyAlignment="1">
      <alignment horizontal="center"/>
    </xf>
    <xf numFmtId="4" fontId="100" fillId="0" borderId="0" xfId="0" applyNumberFormat="1" applyFont="1" applyFill="1" applyAlignment="1">
      <alignment/>
    </xf>
    <xf numFmtId="172" fontId="82" fillId="0" borderId="31" xfId="65" applyFont="1" applyFill="1" applyBorder="1" applyAlignment="1">
      <alignment/>
    </xf>
    <xf numFmtId="172" fontId="82" fillId="0" borderId="31" xfId="65" applyFont="1" applyFill="1" applyBorder="1" applyAlignment="1">
      <alignment horizontal="right"/>
    </xf>
    <xf numFmtId="0" fontId="82" fillId="0" borderId="46" xfId="0" applyFont="1" applyFill="1" applyBorder="1" applyAlignment="1">
      <alignment/>
    </xf>
    <xf numFmtId="172" fontId="82" fillId="0" borderId="90" xfId="65" applyFont="1" applyFill="1" applyBorder="1" applyAlignment="1">
      <alignment horizontal="right"/>
    </xf>
    <xf numFmtId="172" fontId="90" fillId="0" borderId="131" xfId="65" applyFont="1" applyFill="1" applyBorder="1" applyAlignment="1">
      <alignment/>
    </xf>
    <xf numFmtId="172" fontId="90" fillId="0" borderId="91" xfId="65" applyFont="1" applyFill="1" applyBorder="1" applyAlignment="1">
      <alignment/>
    </xf>
    <xf numFmtId="0" fontId="85" fillId="0" borderId="90" xfId="0" applyFont="1" applyFill="1" applyBorder="1" applyAlignment="1">
      <alignment horizontal="center"/>
    </xf>
    <xf numFmtId="0" fontId="86" fillId="0" borderId="47" xfId="0" applyFont="1" applyFill="1" applyBorder="1" applyAlignment="1">
      <alignment horizontal="right"/>
    </xf>
    <xf numFmtId="0" fontId="86" fillId="0" borderId="145" xfId="0" applyFont="1" applyFill="1" applyBorder="1" applyAlignment="1">
      <alignment horizontal="right"/>
    </xf>
    <xf numFmtId="172" fontId="86" fillId="0" borderId="145" xfId="65" applyFont="1" applyFill="1" applyBorder="1" applyAlignment="1">
      <alignment horizontal="center"/>
    </xf>
    <xf numFmtId="0" fontId="86" fillId="0" borderId="91" xfId="0" applyFont="1" applyFill="1" applyBorder="1" applyAlignment="1">
      <alignment horizontal="center"/>
    </xf>
    <xf numFmtId="172" fontId="85" fillId="0" borderId="100" xfId="65" applyFont="1" applyFill="1" applyBorder="1" applyAlignment="1">
      <alignment horizontal="center" vertical="justify"/>
    </xf>
    <xf numFmtId="172" fontId="85" fillId="0" borderId="90" xfId="65" applyFont="1" applyFill="1" applyBorder="1" applyAlignment="1">
      <alignment horizontal="center" vertical="justify"/>
    </xf>
    <xf numFmtId="172" fontId="85" fillId="0" borderId="124" xfId="65" applyFont="1" applyFill="1" applyBorder="1" applyAlignment="1">
      <alignment horizontal="center" vertical="justify"/>
    </xf>
    <xf numFmtId="0" fontId="85" fillId="0" borderId="0" xfId="0" applyFont="1" applyAlignment="1">
      <alignment/>
    </xf>
    <xf numFmtId="0" fontId="87" fillId="0" borderId="0" xfId="0" applyFont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96" fillId="0" borderId="0" xfId="0" applyFont="1" applyFill="1" applyBorder="1" applyAlignment="1">
      <alignment/>
    </xf>
    <xf numFmtId="0" fontId="86" fillId="0" borderId="0" xfId="0" applyFont="1" applyFill="1" applyAlignment="1">
      <alignment horizontal="center"/>
    </xf>
    <xf numFmtId="0" fontId="82" fillId="0" borderId="115" xfId="0" applyFont="1" applyFill="1" applyBorder="1" applyAlignment="1">
      <alignment horizontal="center" vertical="justify"/>
    </xf>
    <xf numFmtId="0" fontId="82" fillId="0" borderId="0" xfId="0" applyFont="1" applyFill="1" applyAlignment="1">
      <alignment/>
    </xf>
    <xf numFmtId="4" fontId="88" fillId="0" borderId="31" xfId="65" applyNumberFormat="1" applyFont="1" applyFill="1" applyBorder="1" applyAlignment="1">
      <alignment horizontal="center"/>
    </xf>
    <xf numFmtId="0" fontId="87" fillId="0" borderId="0" xfId="0" applyFont="1" applyFill="1" applyAlignment="1">
      <alignment/>
    </xf>
    <xf numFmtId="0" fontId="82" fillId="0" borderId="132" xfId="0" applyFont="1" applyFill="1" applyBorder="1" applyAlignment="1">
      <alignment horizontal="center"/>
    </xf>
    <xf numFmtId="0" fontId="82" fillId="0" borderId="0" xfId="0" applyFont="1" applyFill="1" applyAlignment="1">
      <alignment/>
    </xf>
    <xf numFmtId="0" fontId="82" fillId="0" borderId="133" xfId="0" applyFont="1" applyFill="1" applyBorder="1" applyAlignment="1">
      <alignment horizontal="center"/>
    </xf>
    <xf numFmtId="193" fontId="92" fillId="0" borderId="23" xfId="65" applyNumberFormat="1" applyFont="1" applyFill="1" applyBorder="1" applyAlignment="1">
      <alignment/>
    </xf>
    <xf numFmtId="172" fontId="88" fillId="0" borderId="31" xfId="65" applyFont="1" applyFill="1" applyBorder="1" applyAlignment="1">
      <alignment horizontal="center"/>
    </xf>
    <xf numFmtId="193" fontId="88" fillId="0" borderId="31" xfId="65" applyNumberFormat="1" applyFont="1" applyFill="1" applyBorder="1" applyAlignment="1">
      <alignment horizontal="center"/>
    </xf>
    <xf numFmtId="172" fontId="86" fillId="0" borderId="0" xfId="65" applyFont="1" applyFill="1" applyAlignment="1">
      <alignment/>
    </xf>
    <xf numFmtId="4" fontId="87" fillId="0" borderId="31" xfId="0" applyNumberFormat="1" applyFont="1" applyFill="1" applyBorder="1" applyAlignment="1">
      <alignment horizontal="center"/>
    </xf>
    <xf numFmtId="184" fontId="88" fillId="0" borderId="31" xfId="65" applyNumberFormat="1" applyFont="1" applyFill="1" applyBorder="1" applyAlignment="1">
      <alignment/>
    </xf>
    <xf numFmtId="0" fontId="87" fillId="0" borderId="31" xfId="0" applyFont="1" applyFill="1" applyBorder="1" applyAlignment="1">
      <alignment horizontal="center"/>
    </xf>
    <xf numFmtId="172" fontId="87" fillId="0" borderId="31" xfId="65" applyFont="1" applyFill="1" applyBorder="1" applyAlignment="1">
      <alignment horizontal="center"/>
    </xf>
    <xf numFmtId="4" fontId="87" fillId="0" borderId="31" xfId="65" applyNumberFormat="1" applyFont="1" applyFill="1" applyBorder="1" applyAlignment="1">
      <alignment horizontal="center"/>
    </xf>
    <xf numFmtId="4" fontId="87" fillId="0" borderId="31" xfId="65" applyNumberFormat="1" applyFont="1" applyFill="1" applyBorder="1" applyAlignment="1">
      <alignment/>
    </xf>
    <xf numFmtId="172" fontId="87" fillId="0" borderId="31" xfId="65" applyFont="1" applyFill="1" applyBorder="1" applyAlignment="1">
      <alignment/>
    </xf>
    <xf numFmtId="172" fontId="62" fillId="0" borderId="31" xfId="65" applyFont="1" applyFill="1" applyBorder="1" applyAlignment="1">
      <alignment/>
    </xf>
    <xf numFmtId="0" fontId="62" fillId="0" borderId="31" xfId="0" applyFont="1" applyFill="1" applyBorder="1" applyAlignment="1">
      <alignment/>
    </xf>
    <xf numFmtId="0" fontId="87" fillId="0" borderId="31" xfId="0" applyFont="1" applyFill="1" applyBorder="1" applyAlignment="1">
      <alignment/>
    </xf>
    <xf numFmtId="0" fontId="87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101" fillId="0" borderId="31" xfId="0" applyFont="1" applyFill="1" applyBorder="1" applyAlignment="1">
      <alignment horizontal="center"/>
    </xf>
    <xf numFmtId="193" fontId="87" fillId="0" borderId="31" xfId="65" applyNumberFormat="1" applyFont="1" applyFill="1" applyBorder="1" applyAlignment="1">
      <alignment horizontal="center"/>
    </xf>
    <xf numFmtId="193" fontId="102" fillId="0" borderId="31" xfId="65" applyNumberFormat="1" applyFont="1" applyFill="1" applyBorder="1" applyAlignment="1">
      <alignment horizontal="center"/>
    </xf>
    <xf numFmtId="200" fontId="102" fillId="0" borderId="31" xfId="65" applyNumberFormat="1" applyFont="1" applyFill="1" applyBorder="1" applyAlignment="1">
      <alignment horizontal="center"/>
    </xf>
    <xf numFmtId="0" fontId="103" fillId="0" borderId="31" xfId="0" applyFont="1" applyFill="1" applyBorder="1" applyAlignment="1">
      <alignment horizontal="center"/>
    </xf>
    <xf numFmtId="178" fontId="87" fillId="0" borderId="31" xfId="65" applyNumberFormat="1" applyFont="1" applyFill="1" applyBorder="1" applyAlignment="1">
      <alignment/>
    </xf>
    <xf numFmtId="43" fontId="62" fillId="0" borderId="31" xfId="0" applyNumberFormat="1" applyFont="1" applyFill="1" applyBorder="1" applyAlignment="1">
      <alignment/>
    </xf>
    <xf numFmtId="193" fontId="88" fillId="0" borderId="31" xfId="65" applyNumberFormat="1" applyFont="1" applyFill="1" applyBorder="1" applyAlignment="1">
      <alignment/>
    </xf>
    <xf numFmtId="4" fontId="87" fillId="0" borderId="31" xfId="0" applyNumberFormat="1" applyFont="1" applyFill="1" applyBorder="1" applyAlignment="1">
      <alignment/>
    </xf>
    <xf numFmtId="4" fontId="88" fillId="0" borderId="31" xfId="0" applyNumberFormat="1" applyFont="1" applyFill="1" applyBorder="1" applyAlignment="1">
      <alignment horizontal="center"/>
    </xf>
    <xf numFmtId="2" fontId="88" fillId="0" borderId="31" xfId="0" applyNumberFormat="1" applyFont="1" applyFill="1" applyBorder="1" applyAlignment="1">
      <alignment horizontal="center"/>
    </xf>
    <xf numFmtId="4" fontId="87" fillId="0" borderId="0" xfId="0" applyNumberFormat="1" applyFont="1" applyAlignment="1">
      <alignment/>
    </xf>
    <xf numFmtId="0" fontId="101" fillId="0" borderId="0" xfId="0" applyFont="1" applyFill="1" applyBorder="1" applyAlignment="1">
      <alignment/>
    </xf>
    <xf numFmtId="49" fontId="87" fillId="0" borderId="0" xfId="0" applyNumberFormat="1" applyFont="1" applyAlignment="1">
      <alignment horizontal="center"/>
    </xf>
    <xf numFmtId="0" fontId="87" fillId="0" borderId="34" xfId="0" applyFont="1" applyBorder="1" applyAlignment="1">
      <alignment horizontal="center"/>
    </xf>
    <xf numFmtId="0" fontId="87" fillId="0" borderId="31" xfId="0" applyFont="1" applyBorder="1" applyAlignment="1">
      <alignment horizontal="center"/>
    </xf>
    <xf numFmtId="4" fontId="88" fillId="0" borderId="0" xfId="0" applyNumberFormat="1" applyFont="1" applyAlignment="1">
      <alignment/>
    </xf>
    <xf numFmtId="172" fontId="87" fillId="0" borderId="34" xfId="65" applyFont="1" applyBorder="1" applyAlignment="1">
      <alignment horizontal="center"/>
    </xf>
    <xf numFmtId="172" fontId="101" fillId="0" borderId="31" xfId="65" applyFont="1" applyBorder="1" applyAlignment="1">
      <alignment horizontal="center"/>
    </xf>
    <xf numFmtId="3" fontId="87" fillId="0" borderId="0" xfId="0" applyNumberFormat="1" applyFont="1" applyAlignment="1">
      <alignment/>
    </xf>
    <xf numFmtId="2" fontId="87" fillId="0" borderId="0" xfId="0" applyNumberFormat="1" applyFont="1" applyAlignment="1">
      <alignment/>
    </xf>
    <xf numFmtId="2" fontId="87" fillId="0" borderId="21" xfId="0" applyNumberFormat="1" applyFont="1" applyBorder="1" applyAlignment="1">
      <alignment/>
    </xf>
    <xf numFmtId="173" fontId="87" fillId="0" borderId="21" xfId="0" applyNumberFormat="1" applyFont="1" applyBorder="1" applyAlignment="1">
      <alignment/>
    </xf>
    <xf numFmtId="173" fontId="87" fillId="0" borderId="0" xfId="0" applyNumberFormat="1" applyFont="1" applyBorder="1" applyAlignment="1">
      <alignment/>
    </xf>
    <xf numFmtId="173" fontId="87" fillId="0" borderId="0" xfId="0" applyNumberFormat="1" applyFont="1" applyAlignment="1">
      <alignment/>
    </xf>
    <xf numFmtId="4" fontId="87" fillId="0" borderId="0" xfId="0" applyNumberFormat="1" applyFont="1" applyAlignment="1">
      <alignment horizontal="center"/>
    </xf>
    <xf numFmtId="2" fontId="87" fillId="0" borderId="0" xfId="0" applyNumberFormat="1" applyFont="1" applyAlignment="1">
      <alignment horizontal="center"/>
    </xf>
    <xf numFmtId="172" fontId="88" fillId="0" borderId="34" xfId="65" applyFont="1" applyBorder="1" applyAlignment="1">
      <alignment/>
    </xf>
    <xf numFmtId="172" fontId="88" fillId="0" borderId="31" xfId="65" applyFont="1" applyBorder="1" applyAlignment="1">
      <alignment/>
    </xf>
    <xf numFmtId="3" fontId="88" fillId="0" borderId="111" xfId="0" applyNumberFormat="1" applyFont="1" applyBorder="1" applyAlignment="1">
      <alignment horizontal="center"/>
    </xf>
    <xf numFmtId="3" fontId="88" fillId="0" borderId="36" xfId="0" applyNumberFormat="1" applyFont="1" applyBorder="1" applyAlignment="1">
      <alignment horizontal="center"/>
    </xf>
    <xf numFmtId="3" fontId="88" fillId="0" borderId="0" xfId="0" applyNumberFormat="1" applyFont="1" applyBorder="1" applyAlignment="1">
      <alignment horizontal="center"/>
    </xf>
    <xf numFmtId="172" fontId="88" fillId="0" borderId="0" xfId="65" applyFont="1" applyBorder="1" applyAlignment="1">
      <alignment/>
    </xf>
    <xf numFmtId="3" fontId="88" fillId="0" borderId="155" xfId="0" applyNumberFormat="1" applyFont="1" applyBorder="1" applyAlignment="1">
      <alignment horizontal="center"/>
    </xf>
    <xf numFmtId="3" fontId="88" fillId="0" borderId="149" xfId="0" applyNumberFormat="1" applyFont="1" applyBorder="1" applyAlignment="1">
      <alignment horizontal="center"/>
    </xf>
    <xf numFmtId="2" fontId="87" fillId="0" borderId="0" xfId="0" applyNumberFormat="1" applyFont="1" applyBorder="1" applyAlignment="1">
      <alignment horizontal="center"/>
    </xf>
    <xf numFmtId="0" fontId="88" fillId="0" borderId="37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173" fontId="87" fillId="0" borderId="31" xfId="0" applyNumberFormat="1" applyFont="1" applyBorder="1" applyAlignment="1">
      <alignment/>
    </xf>
    <xf numFmtId="0" fontId="88" fillId="0" borderId="0" xfId="0" applyFont="1" applyAlignment="1">
      <alignment horizontal="right"/>
    </xf>
    <xf numFmtId="4" fontId="88" fillId="0" borderId="39" xfId="0" applyNumberFormat="1" applyFont="1" applyBorder="1" applyAlignment="1">
      <alignment/>
    </xf>
    <xf numFmtId="4" fontId="88" fillId="0" borderId="107" xfId="0" applyNumberFormat="1" applyFont="1" applyBorder="1" applyAlignment="1">
      <alignment/>
    </xf>
    <xf numFmtId="4" fontId="87" fillId="0" borderId="40" xfId="0" applyNumberFormat="1" applyFont="1" applyBorder="1" applyAlignment="1">
      <alignment/>
    </xf>
    <xf numFmtId="4" fontId="87" fillId="0" borderId="0" xfId="0" applyNumberFormat="1" applyFont="1" applyBorder="1" applyAlignment="1">
      <alignment/>
    </xf>
    <xf numFmtId="4" fontId="88" fillId="0" borderId="38" xfId="0" applyNumberFormat="1" applyFont="1" applyBorder="1" applyAlignment="1">
      <alignment/>
    </xf>
    <xf numFmtId="172" fontId="87" fillId="0" borderId="84" xfId="65" applyFont="1" applyFill="1" applyBorder="1" applyAlignment="1">
      <alignment horizontal="center"/>
    </xf>
    <xf numFmtId="4" fontId="88" fillId="0" borderId="41" xfId="0" applyNumberFormat="1" applyFont="1" applyBorder="1" applyAlignment="1">
      <alignment/>
    </xf>
    <xf numFmtId="4" fontId="88" fillId="0" borderId="84" xfId="0" applyNumberFormat="1" applyFont="1" applyBorder="1" applyAlignment="1">
      <alignment/>
    </xf>
    <xf numFmtId="4" fontId="88" fillId="0" borderId="42" xfId="0" applyNumberFormat="1" applyFont="1" applyBorder="1" applyAlignment="1">
      <alignment/>
    </xf>
    <xf numFmtId="4" fontId="88" fillId="0" borderId="0" xfId="0" applyNumberFormat="1" applyFont="1" applyBorder="1" applyAlignment="1">
      <alignment/>
    </xf>
    <xf numFmtId="184" fontId="88" fillId="0" borderId="0" xfId="65" applyNumberFormat="1" applyFont="1" applyBorder="1" applyAlignment="1">
      <alignment/>
    </xf>
    <xf numFmtId="172" fontId="88" fillId="0" borderId="34" xfId="65" applyFont="1" applyBorder="1" applyAlignment="1">
      <alignment horizontal="center"/>
    </xf>
    <xf numFmtId="172" fontId="88" fillId="0" borderId="31" xfId="65" applyFont="1" applyBorder="1" applyAlignment="1">
      <alignment horizontal="center"/>
    </xf>
    <xf numFmtId="0" fontId="87" fillId="0" borderId="31" xfId="0" applyFont="1" applyBorder="1" applyAlignment="1">
      <alignment/>
    </xf>
    <xf numFmtId="0" fontId="87" fillId="0" borderId="0" xfId="0" applyFont="1" applyBorder="1" applyAlignment="1">
      <alignment/>
    </xf>
    <xf numFmtId="4" fontId="88" fillId="0" borderId="0" xfId="0" applyNumberFormat="1" applyFont="1" applyBorder="1" applyAlignment="1">
      <alignment horizontal="center"/>
    </xf>
    <xf numFmtId="3" fontId="101" fillId="0" borderId="45" xfId="0" applyNumberFormat="1" applyFont="1" applyBorder="1" applyAlignment="1">
      <alignment/>
    </xf>
    <xf numFmtId="3" fontId="101" fillId="0" borderId="0" xfId="0" applyNumberFormat="1" applyFont="1" applyBorder="1" applyAlignment="1">
      <alignment/>
    </xf>
    <xf numFmtId="174" fontId="88" fillId="0" borderId="0" xfId="0" applyNumberFormat="1" applyFont="1" applyAlignment="1">
      <alignment/>
    </xf>
    <xf numFmtId="172" fontId="87" fillId="0" borderId="85" xfId="65" applyFont="1" applyFill="1" applyBorder="1" applyAlignment="1">
      <alignment horizontal="center"/>
    </xf>
    <xf numFmtId="0" fontId="88" fillId="0" borderId="43" xfId="0" applyFont="1" applyBorder="1" applyAlignment="1">
      <alignment horizontal="center"/>
    </xf>
    <xf numFmtId="0" fontId="88" fillId="0" borderId="108" xfId="0" applyFont="1" applyBorder="1" applyAlignment="1">
      <alignment horizontal="center"/>
    </xf>
    <xf numFmtId="0" fontId="88" fillId="0" borderId="44" xfId="0" applyFont="1" applyBorder="1" applyAlignment="1">
      <alignment horizontal="center"/>
    </xf>
    <xf numFmtId="172" fontId="104" fillId="0" borderId="31" xfId="65" applyFont="1" applyFill="1" applyBorder="1" applyAlignment="1">
      <alignment/>
    </xf>
    <xf numFmtId="0" fontId="87" fillId="0" borderId="89" xfId="0" applyFont="1" applyFill="1" applyBorder="1" applyAlignment="1">
      <alignment horizontal="center"/>
    </xf>
    <xf numFmtId="0" fontId="87" fillId="0" borderId="156" xfId="0" applyFont="1" applyFill="1" applyBorder="1" applyAlignment="1">
      <alignment horizontal="center"/>
    </xf>
    <xf numFmtId="0" fontId="87" fillId="0" borderId="157" xfId="0" applyFont="1" applyFill="1" applyBorder="1" applyAlignment="1">
      <alignment horizontal="center"/>
    </xf>
    <xf numFmtId="0" fontId="87" fillId="0" borderId="90" xfId="0" applyFont="1" applyFill="1" applyBorder="1" applyAlignment="1">
      <alignment horizontal="center"/>
    </xf>
    <xf numFmtId="0" fontId="87" fillId="0" borderId="46" xfId="0" applyFont="1" applyFill="1" applyBorder="1" applyAlignment="1">
      <alignment vertical="justify"/>
    </xf>
    <xf numFmtId="172" fontId="87" fillId="0" borderId="90" xfId="65" applyFont="1" applyFill="1" applyBorder="1" applyAlignment="1">
      <alignment horizontal="center"/>
    </xf>
    <xf numFmtId="172" fontId="104" fillId="0" borderId="90" xfId="65" applyFont="1" applyFill="1" applyBorder="1" applyAlignment="1">
      <alignment/>
    </xf>
    <xf numFmtId="4" fontId="87" fillId="0" borderId="90" xfId="65" applyNumberFormat="1" applyFont="1" applyFill="1" applyBorder="1" applyAlignment="1">
      <alignment horizontal="center"/>
    </xf>
    <xf numFmtId="4" fontId="88" fillId="0" borderId="90" xfId="65" applyNumberFormat="1" applyFont="1" applyFill="1" applyBorder="1" applyAlignment="1">
      <alignment horizontal="center"/>
    </xf>
    <xf numFmtId="0" fontId="101" fillId="0" borderId="46" xfId="0" applyFont="1" applyFill="1" applyBorder="1" applyAlignment="1">
      <alignment vertical="justify"/>
    </xf>
    <xf numFmtId="0" fontId="103" fillId="0" borderId="46" xfId="0" applyFont="1" applyFill="1" applyBorder="1" applyAlignment="1">
      <alignment vertical="justify"/>
    </xf>
    <xf numFmtId="184" fontId="88" fillId="0" borderId="90" xfId="65" applyNumberFormat="1" applyFont="1" applyFill="1" applyBorder="1" applyAlignment="1">
      <alignment/>
    </xf>
    <xf numFmtId="0" fontId="62" fillId="0" borderId="90" xfId="0" applyFont="1" applyFill="1" applyBorder="1" applyAlignment="1">
      <alignment/>
    </xf>
    <xf numFmtId="172" fontId="88" fillId="0" borderId="90" xfId="65" applyFont="1" applyFill="1" applyBorder="1" applyAlignment="1">
      <alignment horizontal="center"/>
    </xf>
    <xf numFmtId="0" fontId="87" fillId="0" borderId="90" xfId="0" applyFont="1" applyFill="1" applyBorder="1" applyAlignment="1">
      <alignment/>
    </xf>
    <xf numFmtId="4" fontId="87" fillId="0" borderId="90" xfId="0" applyNumberFormat="1" applyFont="1" applyFill="1" applyBorder="1" applyAlignment="1">
      <alignment/>
    </xf>
    <xf numFmtId="43" fontId="87" fillId="0" borderId="90" xfId="0" applyNumberFormat="1" applyFont="1" applyFill="1" applyBorder="1" applyAlignment="1">
      <alignment horizontal="center"/>
    </xf>
    <xf numFmtId="4" fontId="87" fillId="0" borderId="90" xfId="0" applyNumberFormat="1" applyFont="1" applyFill="1" applyBorder="1" applyAlignment="1">
      <alignment horizontal="center"/>
    </xf>
    <xf numFmtId="0" fontId="88" fillId="0" borderId="47" xfId="0" applyFont="1" applyFill="1" applyBorder="1" applyAlignment="1">
      <alignment horizontal="right"/>
    </xf>
    <xf numFmtId="3" fontId="88" fillId="0" borderId="145" xfId="0" applyNumberFormat="1" applyFont="1" applyFill="1" applyBorder="1" applyAlignment="1">
      <alignment horizontal="center"/>
    </xf>
    <xf numFmtId="0" fontId="87" fillId="0" borderId="145" xfId="0" applyFont="1" applyFill="1" applyBorder="1" applyAlignment="1">
      <alignment/>
    </xf>
    <xf numFmtId="4" fontId="88" fillId="0" borderId="145" xfId="0" applyNumberFormat="1" applyFont="1" applyFill="1" applyBorder="1" applyAlignment="1">
      <alignment horizontal="center"/>
    </xf>
    <xf numFmtId="4" fontId="88" fillId="0" borderId="91" xfId="0" applyNumberFormat="1" applyFont="1" applyFill="1" applyBorder="1" applyAlignment="1">
      <alignment horizontal="center"/>
    </xf>
    <xf numFmtId="0" fontId="88" fillId="0" borderId="138" xfId="0" applyFont="1" applyFill="1" applyBorder="1" applyAlignment="1">
      <alignment/>
    </xf>
    <xf numFmtId="0" fontId="87" fillId="0" borderId="156" xfId="0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right" vertical="justify"/>
    </xf>
    <xf numFmtId="0" fontId="98" fillId="0" borderId="46" xfId="0" applyFont="1" applyFill="1" applyBorder="1" applyAlignment="1">
      <alignment horizontal="right"/>
    </xf>
    <xf numFmtId="172" fontId="87" fillId="0" borderId="31" xfId="0" applyNumberFormat="1" applyFont="1" applyFill="1" applyBorder="1" applyAlignment="1">
      <alignment/>
    </xf>
    <xf numFmtId="0" fontId="88" fillId="0" borderId="158" xfId="0" applyFont="1" applyFill="1" applyBorder="1" applyAlignment="1">
      <alignment horizontal="right"/>
    </xf>
    <xf numFmtId="3" fontId="88" fillId="0" borderId="159" xfId="0" applyNumberFormat="1" applyFont="1" applyFill="1" applyBorder="1" applyAlignment="1">
      <alignment horizontal="center"/>
    </xf>
    <xf numFmtId="0" fontId="87" fillId="0" borderId="160" xfId="0" applyFont="1" applyFill="1" applyBorder="1" applyAlignment="1">
      <alignment/>
    </xf>
    <xf numFmtId="4" fontId="90" fillId="0" borderId="74" xfId="0" applyNumberFormat="1" applyFont="1" applyFill="1" applyBorder="1" applyAlignment="1">
      <alignment/>
    </xf>
    <xf numFmtId="0" fontId="101" fillId="0" borderId="100" xfId="0" applyFont="1" applyFill="1" applyBorder="1" applyAlignment="1">
      <alignment/>
    </xf>
    <xf numFmtId="0" fontId="87" fillId="0" borderId="47" xfId="0" applyFont="1" applyFill="1" applyBorder="1" applyAlignment="1">
      <alignment horizontal="center"/>
    </xf>
    <xf numFmtId="0" fontId="87" fillId="0" borderId="145" xfId="0" applyFont="1" applyFill="1" applyBorder="1" applyAlignment="1">
      <alignment horizontal="center"/>
    </xf>
    <xf numFmtId="0" fontId="87" fillId="0" borderId="91" xfId="0" applyFont="1" applyFill="1" applyBorder="1" applyAlignment="1">
      <alignment horizontal="center"/>
    </xf>
    <xf numFmtId="0" fontId="87" fillId="0" borderId="89" xfId="0" applyFont="1" applyFill="1" applyBorder="1" applyAlignment="1">
      <alignment/>
    </xf>
    <xf numFmtId="0" fontId="87" fillId="0" borderId="46" xfId="0" applyFont="1" applyFill="1" applyBorder="1" applyAlignment="1">
      <alignment/>
    </xf>
    <xf numFmtId="174" fontId="87" fillId="0" borderId="46" xfId="0" applyNumberFormat="1" applyFont="1" applyFill="1" applyBorder="1" applyAlignment="1">
      <alignment/>
    </xf>
    <xf numFmtId="0" fontId="87" fillId="0" borderId="47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172" fontId="87" fillId="0" borderId="145" xfId="0" applyNumberFormat="1" applyFont="1" applyFill="1" applyBorder="1" applyAlignment="1">
      <alignment/>
    </xf>
    <xf numFmtId="2" fontId="88" fillId="0" borderId="145" xfId="0" applyNumberFormat="1" applyFont="1" applyFill="1" applyBorder="1" applyAlignment="1">
      <alignment horizontal="center"/>
    </xf>
    <xf numFmtId="0" fontId="94" fillId="0" borderId="103" xfId="0" applyFont="1" applyFill="1" applyBorder="1" applyAlignment="1">
      <alignment vertical="center"/>
    </xf>
    <xf numFmtId="0" fontId="82" fillId="0" borderId="130" xfId="0" applyFont="1" applyFill="1" applyBorder="1" applyAlignment="1">
      <alignment horizontal="center" vertical="center"/>
    </xf>
    <xf numFmtId="0" fontId="82" fillId="0" borderId="129" xfId="0" applyFont="1" applyFill="1" applyBorder="1" applyAlignment="1">
      <alignment horizontal="center" vertical="center"/>
    </xf>
    <xf numFmtId="0" fontId="82" fillId="0" borderId="131" xfId="0" applyFont="1" applyFill="1" applyBorder="1" applyAlignment="1">
      <alignment horizontal="center" vertical="center"/>
    </xf>
    <xf numFmtId="0" fontId="98" fillId="0" borderId="134" xfId="0" applyFont="1" applyFill="1" applyBorder="1" applyAlignment="1">
      <alignment horizontal="right"/>
    </xf>
    <xf numFmtId="0" fontId="98" fillId="0" borderId="137" xfId="0" applyFont="1" applyFill="1" applyBorder="1" applyAlignment="1">
      <alignment horizontal="right"/>
    </xf>
    <xf numFmtId="172" fontId="85" fillId="0" borderId="0" xfId="65" applyFont="1" applyFill="1" applyAlignment="1">
      <alignment/>
    </xf>
    <xf numFmtId="0" fontId="91" fillId="0" borderId="46" xfId="0" applyFont="1" applyBorder="1" applyAlignment="1">
      <alignment horizontal="right"/>
    </xf>
    <xf numFmtId="0" fontId="94" fillId="0" borderId="0" xfId="0" applyFont="1" applyAlignment="1">
      <alignment horizontal="right"/>
    </xf>
    <xf numFmtId="0" fontId="92" fillId="0" borderId="0" xfId="0" applyFont="1" applyAlignment="1">
      <alignment horizontal="center"/>
    </xf>
    <xf numFmtId="0" fontId="92" fillId="0" borderId="50" xfId="0" applyFont="1" applyBorder="1" applyAlignment="1">
      <alignment horizontal="center"/>
    </xf>
    <xf numFmtId="0" fontId="92" fillId="0" borderId="51" xfId="0" applyFont="1" applyBorder="1" applyAlignment="1">
      <alignment horizontal="center"/>
    </xf>
    <xf numFmtId="0" fontId="92" fillId="0" borderId="57" xfId="0" applyFont="1" applyBorder="1" applyAlignment="1">
      <alignment/>
    </xf>
    <xf numFmtId="0" fontId="92" fillId="0" borderId="58" xfId="0" applyFont="1" applyBorder="1" applyAlignment="1">
      <alignment horizontal="center"/>
    </xf>
    <xf numFmtId="0" fontId="17" fillId="0" borderId="50" xfId="0" applyFont="1" applyBorder="1" applyAlignment="1">
      <alignment horizontal="left"/>
    </xf>
    <xf numFmtId="0" fontId="92" fillId="0" borderId="63" xfId="0" applyFont="1" applyBorder="1" applyAlignment="1">
      <alignment/>
    </xf>
    <xf numFmtId="0" fontId="92" fillId="0" borderId="55" xfId="0" applyFont="1" applyBorder="1" applyAlignment="1">
      <alignment/>
    </xf>
    <xf numFmtId="0" fontId="17" fillId="0" borderId="52" xfId="0" applyFont="1" applyFill="1" applyBorder="1" applyAlignment="1">
      <alignment horizontal="left"/>
    </xf>
    <xf numFmtId="0" fontId="92" fillId="0" borderId="53" xfId="0" applyFont="1" applyBorder="1" applyAlignment="1">
      <alignment/>
    </xf>
    <xf numFmtId="0" fontId="92" fillId="0" borderId="54" xfId="0" applyFont="1" applyBorder="1" applyAlignment="1">
      <alignment/>
    </xf>
    <xf numFmtId="2" fontId="92" fillId="0" borderId="53" xfId="0" applyNumberFormat="1" applyFont="1" applyBorder="1" applyAlignment="1">
      <alignment horizontal="center"/>
    </xf>
    <xf numFmtId="2" fontId="92" fillId="0" borderId="54" xfId="0" applyNumberFormat="1" applyFont="1" applyBorder="1" applyAlignment="1">
      <alignment horizontal="center"/>
    </xf>
    <xf numFmtId="177" fontId="92" fillId="0" borderId="53" xfId="0" applyNumberFormat="1" applyFont="1" applyBorder="1" applyAlignment="1">
      <alignment horizontal="center"/>
    </xf>
    <xf numFmtId="2" fontId="17" fillId="0" borderId="75" xfId="0" applyNumberFormat="1" applyFont="1" applyBorder="1" applyAlignment="1">
      <alignment horizontal="center"/>
    </xf>
    <xf numFmtId="0" fontId="17" fillId="0" borderId="52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52" xfId="0" applyFont="1" applyBorder="1" applyAlignment="1">
      <alignment/>
    </xf>
    <xf numFmtId="0" fontId="18" fillId="0" borderId="16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92" fillId="0" borderId="133" xfId="0" applyFont="1" applyBorder="1" applyAlignment="1">
      <alignment/>
    </xf>
    <xf numFmtId="0" fontId="18" fillId="0" borderId="103" xfId="0" applyFont="1" applyBorder="1" applyAlignment="1">
      <alignment horizontal="right"/>
    </xf>
    <xf numFmtId="2" fontId="92" fillId="0" borderId="0" xfId="0" applyNumberFormat="1" applyFont="1" applyBorder="1" applyAlignment="1">
      <alignment horizontal="center"/>
    </xf>
    <xf numFmtId="172" fontId="92" fillId="0" borderId="75" xfId="65" applyFont="1" applyFill="1" applyBorder="1" applyAlignment="1">
      <alignment horizontal="center"/>
    </xf>
    <xf numFmtId="172" fontId="92" fillId="0" borderId="0" xfId="65" applyFont="1" applyFill="1" applyAlignment="1">
      <alignment/>
    </xf>
    <xf numFmtId="0" fontId="92" fillId="0" borderId="34" xfId="0" applyFont="1" applyFill="1" applyBorder="1" applyAlignment="1">
      <alignment/>
    </xf>
    <xf numFmtId="172" fontId="92" fillId="0" borderId="90" xfId="65" applyFont="1" applyFill="1" applyBorder="1" applyAlignment="1">
      <alignment/>
    </xf>
    <xf numFmtId="0" fontId="98" fillId="0" borderId="96" xfId="0" applyFont="1" applyFill="1" applyBorder="1" applyAlignment="1">
      <alignment/>
    </xf>
    <xf numFmtId="0" fontId="98" fillId="0" borderId="135" xfId="0" applyFont="1" applyFill="1" applyBorder="1" applyAlignment="1">
      <alignment/>
    </xf>
    <xf numFmtId="0" fontId="82" fillId="0" borderId="162" xfId="0" applyFont="1" applyFill="1" applyBorder="1" applyAlignment="1">
      <alignment/>
    </xf>
    <xf numFmtId="3" fontId="94" fillId="0" borderId="113" xfId="0" applyNumberFormat="1" applyFont="1" applyFill="1" applyBorder="1" applyAlignment="1">
      <alignment/>
    </xf>
    <xf numFmtId="4" fontId="94" fillId="0" borderId="128" xfId="0" applyNumberFormat="1" applyFont="1" applyFill="1" applyBorder="1" applyAlignment="1">
      <alignment/>
    </xf>
    <xf numFmtId="3" fontId="94" fillId="0" borderId="128" xfId="0" applyNumberFormat="1" applyFont="1" applyFill="1" applyBorder="1" applyAlignment="1">
      <alignment/>
    </xf>
    <xf numFmtId="3" fontId="94" fillId="0" borderId="163" xfId="0" applyNumberFormat="1" applyFont="1" applyFill="1" applyBorder="1" applyAlignment="1">
      <alignment/>
    </xf>
    <xf numFmtId="203" fontId="19" fillId="0" borderId="0" xfId="0" applyNumberFormat="1" applyFont="1" applyAlignment="1">
      <alignment vertical="justify" wrapText="1"/>
    </xf>
    <xf numFmtId="0" fontId="20" fillId="0" borderId="0" xfId="0" applyFont="1" applyAlignment="1">
      <alignment vertical="justify"/>
    </xf>
    <xf numFmtId="172" fontId="19" fillId="0" borderId="0" xfId="65" applyFont="1" applyAlignment="1">
      <alignment horizontal="center" vertical="justify"/>
    </xf>
    <xf numFmtId="203" fontId="19" fillId="0" borderId="0" xfId="0" applyNumberFormat="1" applyFont="1" applyAlignment="1">
      <alignment vertical="justify"/>
    </xf>
    <xf numFmtId="172" fontId="19" fillId="0" borderId="0" xfId="65" applyFont="1" applyAlignment="1">
      <alignment vertical="justify"/>
    </xf>
    <xf numFmtId="0" fontId="19" fillId="0" borderId="0" xfId="0" applyFont="1" applyAlignment="1">
      <alignment vertical="justify"/>
    </xf>
    <xf numFmtId="0" fontId="19" fillId="0" borderId="164" xfId="0" applyFont="1" applyBorder="1" applyAlignment="1">
      <alignment horizontal="center" vertical="justify" wrapText="1"/>
    </xf>
    <xf numFmtId="0" fontId="19" fillId="0" borderId="165" xfId="0" applyFont="1" applyBorder="1" applyAlignment="1">
      <alignment horizontal="center" vertical="justify"/>
    </xf>
    <xf numFmtId="172" fontId="19" fillId="0" borderId="165" xfId="65" applyFont="1" applyBorder="1" applyAlignment="1">
      <alignment horizontal="center" vertical="justify"/>
    </xf>
    <xf numFmtId="203" fontId="19" fillId="0" borderId="166" xfId="0" applyNumberFormat="1" applyFont="1" applyBorder="1" applyAlignment="1">
      <alignment horizontal="center" vertical="justify"/>
    </xf>
    <xf numFmtId="0" fontId="19" fillId="0" borderId="167" xfId="0" applyFont="1" applyBorder="1" applyAlignment="1">
      <alignment horizontal="center" vertical="justify" wrapText="1"/>
    </xf>
    <xf numFmtId="0" fontId="19" fillId="0" borderId="89" xfId="0" applyFont="1" applyBorder="1" applyAlignment="1">
      <alignment vertical="justify" wrapText="1"/>
    </xf>
    <xf numFmtId="0" fontId="19" fillId="0" borderId="156" xfId="0" applyFont="1" applyBorder="1" applyAlignment="1">
      <alignment vertical="justify"/>
    </xf>
    <xf numFmtId="172" fontId="19" fillId="0" borderId="156" xfId="65" applyFont="1" applyBorder="1" applyAlignment="1">
      <alignment horizontal="center" vertical="justify"/>
    </xf>
    <xf numFmtId="203" fontId="19" fillId="0" borderId="157" xfId="0" applyNumberFormat="1" applyFont="1" applyBorder="1" applyAlignment="1">
      <alignment vertical="justify"/>
    </xf>
    <xf numFmtId="0" fontId="19" fillId="0" borderId="46" xfId="0" applyFont="1" applyBorder="1" applyAlignment="1">
      <alignment vertical="justify" wrapText="1"/>
    </xf>
    <xf numFmtId="0" fontId="19" fillId="0" borderId="31" xfId="0" applyFont="1" applyBorder="1" applyAlignment="1">
      <alignment vertical="justify"/>
    </xf>
    <xf numFmtId="172" fontId="19" fillId="0" borderId="31" xfId="65" applyFont="1" applyBorder="1" applyAlignment="1">
      <alignment horizontal="center" vertical="justify"/>
    </xf>
    <xf numFmtId="203" fontId="19" fillId="0" borderId="90" xfId="0" applyNumberFormat="1" applyFont="1" applyBorder="1" applyAlignment="1">
      <alignment vertical="justify"/>
    </xf>
    <xf numFmtId="0" fontId="19" fillId="0" borderId="90" xfId="0" applyFont="1" applyBorder="1" applyAlignment="1">
      <alignment vertical="justify"/>
    </xf>
    <xf numFmtId="0" fontId="19" fillId="0" borderId="34" xfId="0" applyFont="1" applyBorder="1" applyAlignment="1">
      <alignment vertical="justify" wrapText="1"/>
    </xf>
    <xf numFmtId="203" fontId="19" fillId="0" borderId="124" xfId="0" applyNumberFormat="1" applyFont="1" applyBorder="1" applyAlignment="1">
      <alignment vertical="justify"/>
    </xf>
    <xf numFmtId="203" fontId="19" fillId="0" borderId="168" xfId="0" applyNumberFormat="1" applyFont="1" applyBorder="1" applyAlignment="1">
      <alignment vertical="justify"/>
    </xf>
    <xf numFmtId="0" fontId="19" fillId="0" borderId="169" xfId="0" applyFont="1" applyBorder="1" applyAlignment="1">
      <alignment vertical="justify" wrapText="1"/>
    </xf>
    <xf numFmtId="0" fontId="19" fillId="0" borderId="145" xfId="0" applyFont="1" applyBorder="1" applyAlignment="1">
      <alignment vertical="justify"/>
    </xf>
    <xf numFmtId="172" fontId="19" fillId="0" borderId="145" xfId="65" applyFont="1" applyBorder="1" applyAlignment="1">
      <alignment horizontal="center" vertical="justify"/>
    </xf>
    <xf numFmtId="203" fontId="19" fillId="0" borderId="170" xfId="0" applyNumberFormat="1" applyFont="1" applyBorder="1" applyAlignment="1">
      <alignment vertical="justify"/>
    </xf>
    <xf numFmtId="203" fontId="19" fillId="0" borderId="0" xfId="0" applyNumberFormat="1" applyFont="1" applyBorder="1" applyAlignment="1">
      <alignment horizontal="center" vertical="justify"/>
    </xf>
    <xf numFmtId="203" fontId="21" fillId="0" borderId="0" xfId="0" applyNumberFormat="1" applyFont="1" applyBorder="1" applyAlignment="1">
      <alignment horizontal="center" vertical="justify"/>
    </xf>
    <xf numFmtId="0" fontId="19" fillId="0" borderId="0" xfId="0" applyFont="1" applyAlignment="1">
      <alignment vertical="justify" wrapText="1"/>
    </xf>
    <xf numFmtId="0" fontId="19" fillId="0" borderId="46" xfId="0" applyFont="1" applyFill="1" applyBorder="1" applyAlignment="1">
      <alignment vertical="justify" wrapText="1"/>
    </xf>
    <xf numFmtId="0" fontId="85" fillId="0" borderId="0" xfId="0" applyFont="1" applyFill="1" applyAlignment="1">
      <alignment horizontal="center"/>
    </xf>
    <xf numFmtId="0" fontId="85" fillId="0" borderId="157" xfId="0" applyFont="1" applyFill="1" applyBorder="1" applyAlignment="1">
      <alignment horizontal="center"/>
    </xf>
    <xf numFmtId="0" fontId="82" fillId="0" borderId="46" xfId="0" applyFont="1" applyFill="1" applyBorder="1" applyAlignment="1">
      <alignment horizontal="center"/>
    </xf>
    <xf numFmtId="4" fontId="90" fillId="0" borderId="31" xfId="0" applyNumberFormat="1" applyFont="1" applyFill="1" applyBorder="1" applyAlignment="1">
      <alignment/>
    </xf>
    <xf numFmtId="172" fontId="90" fillId="0" borderId="31" xfId="65" applyFont="1" applyFill="1" applyBorder="1" applyAlignment="1">
      <alignment/>
    </xf>
    <xf numFmtId="172" fontId="90" fillId="0" borderId="90" xfId="65" applyFont="1" applyFill="1" applyBorder="1" applyAlignment="1">
      <alignment/>
    </xf>
    <xf numFmtId="172" fontId="85" fillId="0" borderId="0" xfId="65" applyFont="1" applyFill="1" applyAlignment="1">
      <alignment horizontal="right"/>
    </xf>
    <xf numFmtId="0" fontId="82" fillId="0" borderId="31" xfId="0" applyFont="1" applyFill="1" applyBorder="1" applyAlignment="1">
      <alignment/>
    </xf>
    <xf numFmtId="172" fontId="82" fillId="0" borderId="90" xfId="65" applyFont="1" applyFill="1" applyBorder="1" applyAlignment="1">
      <alignment/>
    </xf>
    <xf numFmtId="0" fontId="85" fillId="0" borderId="171" xfId="0" applyFont="1" applyFill="1" applyBorder="1" applyAlignment="1">
      <alignment vertical="justify"/>
    </xf>
    <xf numFmtId="0" fontId="85" fillId="0" borderId="172" xfId="0" applyFont="1" applyFill="1" applyBorder="1" applyAlignment="1">
      <alignment horizontal="center" vertical="justify"/>
    </xf>
    <xf numFmtId="4" fontId="85" fillId="0" borderId="95" xfId="0" applyNumberFormat="1" applyFont="1" applyFill="1" applyBorder="1" applyAlignment="1">
      <alignment horizontal="center" vertical="justify"/>
    </xf>
    <xf numFmtId="0" fontId="85" fillId="0" borderId="173" xfId="0" applyFont="1" applyFill="1" applyBorder="1" applyAlignment="1">
      <alignment horizontal="center" vertical="justify"/>
    </xf>
    <xf numFmtId="4" fontId="85" fillId="0" borderId="32" xfId="0" applyNumberFormat="1" applyFont="1" applyFill="1" applyBorder="1" applyAlignment="1">
      <alignment horizontal="center" vertical="justify"/>
    </xf>
    <xf numFmtId="0" fontId="85" fillId="0" borderId="174" xfId="0" applyFont="1" applyFill="1" applyBorder="1" applyAlignment="1">
      <alignment horizontal="center" vertical="justify"/>
    </xf>
    <xf numFmtId="4" fontId="85" fillId="0" borderId="125" xfId="0" applyNumberFormat="1" applyFont="1" applyFill="1" applyBorder="1" applyAlignment="1">
      <alignment horizontal="center" vertical="justify"/>
    </xf>
    <xf numFmtId="0" fontId="85" fillId="0" borderId="45" xfId="0" applyFont="1" applyFill="1" applyBorder="1" applyAlignment="1">
      <alignment horizontal="center" vertical="justify"/>
    </xf>
    <xf numFmtId="4" fontId="86" fillId="0" borderId="138" xfId="0" applyNumberFormat="1" applyFont="1" applyFill="1" applyBorder="1" applyAlignment="1">
      <alignment horizontal="center" vertical="justify"/>
    </xf>
    <xf numFmtId="2" fontId="88" fillId="0" borderId="90" xfId="0" applyNumberFormat="1" applyFont="1" applyFill="1" applyBorder="1" applyAlignment="1">
      <alignment horizontal="center"/>
    </xf>
    <xf numFmtId="2" fontId="88" fillId="0" borderId="91" xfId="0" applyNumberFormat="1" applyFont="1" applyFill="1" applyBorder="1" applyAlignment="1">
      <alignment horizontal="center"/>
    </xf>
    <xf numFmtId="0" fontId="105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6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/>
    </xf>
    <xf numFmtId="0" fontId="84" fillId="0" borderId="21" xfId="0" applyFont="1" applyFill="1" applyBorder="1" applyAlignment="1">
      <alignment horizontal="center"/>
    </xf>
    <xf numFmtId="0" fontId="85" fillId="0" borderId="132" xfId="0" applyFont="1" applyBorder="1" applyAlignment="1">
      <alignment horizontal="center"/>
    </xf>
    <xf numFmtId="0" fontId="85" fillId="0" borderId="78" xfId="0" applyFont="1" applyBorder="1" applyAlignment="1">
      <alignment horizontal="center"/>
    </xf>
    <xf numFmtId="0" fontId="85" fillId="0" borderId="175" xfId="0" applyFont="1" applyBorder="1" applyAlignment="1">
      <alignment horizontal="center"/>
    </xf>
    <xf numFmtId="0" fontId="87" fillId="0" borderId="132" xfId="0" applyFont="1" applyFill="1" applyBorder="1" applyAlignment="1">
      <alignment horizontal="center"/>
    </xf>
    <xf numFmtId="0" fontId="87" fillId="0" borderId="175" xfId="0" applyFont="1" applyFill="1" applyBorder="1" applyAlignment="1">
      <alignment horizontal="center"/>
    </xf>
    <xf numFmtId="0" fontId="88" fillId="0" borderId="156" xfId="0" applyFont="1" applyFill="1" applyBorder="1" applyAlignment="1">
      <alignment horizontal="center" vertical="justify"/>
    </xf>
    <xf numFmtId="0" fontId="88" fillId="0" borderId="31" xfId="0" applyFont="1" applyFill="1" applyBorder="1" applyAlignment="1">
      <alignment horizontal="center" vertical="justify"/>
    </xf>
    <xf numFmtId="0" fontId="88" fillId="0" borderId="145" xfId="0" applyFont="1" applyFill="1" applyBorder="1" applyAlignment="1">
      <alignment horizontal="center" vertical="justify"/>
    </xf>
    <xf numFmtId="0" fontId="88" fillId="0" borderId="176" xfId="0" applyFont="1" applyFill="1" applyBorder="1" applyAlignment="1">
      <alignment horizontal="center" vertical="justify"/>
    </xf>
    <xf numFmtId="0" fontId="88" fillId="0" borderId="34" xfId="0" applyFont="1" applyFill="1" applyBorder="1" applyAlignment="1">
      <alignment horizontal="center" vertical="justify"/>
    </xf>
    <xf numFmtId="0" fontId="88" fillId="0" borderId="169" xfId="0" applyFont="1" applyFill="1" applyBorder="1" applyAlignment="1">
      <alignment horizontal="center" vertical="justify"/>
    </xf>
    <xf numFmtId="0" fontId="86" fillId="0" borderId="0" xfId="0" applyFont="1" applyAlignment="1">
      <alignment horizontal="center"/>
    </xf>
    <xf numFmtId="0" fontId="88" fillId="0" borderId="89" xfId="0" applyFont="1" applyFill="1" applyBorder="1" applyAlignment="1">
      <alignment horizontal="center" vertical="justify"/>
    </xf>
    <xf numFmtId="0" fontId="88" fillId="0" borderId="46" xfId="0" applyFont="1" applyFill="1" applyBorder="1" applyAlignment="1">
      <alignment horizontal="center" vertical="justify"/>
    </xf>
    <xf numFmtId="0" fontId="88" fillId="0" borderId="47" xfId="0" applyFont="1" applyFill="1" applyBorder="1" applyAlignment="1">
      <alignment horizontal="center" vertical="justify"/>
    </xf>
    <xf numFmtId="0" fontId="87" fillId="0" borderId="177" xfId="0" applyFont="1" applyFill="1" applyBorder="1" applyAlignment="1">
      <alignment horizontal="center"/>
    </xf>
    <xf numFmtId="0" fontId="88" fillId="0" borderId="165" xfId="0" applyFont="1" applyFill="1" applyBorder="1" applyAlignment="1">
      <alignment horizontal="center" vertical="justify"/>
    </xf>
    <xf numFmtId="0" fontId="88" fillId="0" borderId="159" xfId="0" applyFont="1" applyFill="1" applyBorder="1" applyAlignment="1">
      <alignment horizontal="center" vertical="justify"/>
    </xf>
    <xf numFmtId="0" fontId="88" fillId="0" borderId="178" xfId="0" applyFont="1" applyFill="1" applyBorder="1" applyAlignment="1">
      <alignment horizontal="center" vertical="justify"/>
    </xf>
    <xf numFmtId="0" fontId="0" fillId="0" borderId="179" xfId="0" applyFill="1" applyBorder="1" applyAlignment="1">
      <alignment/>
    </xf>
    <xf numFmtId="0" fontId="0" fillId="0" borderId="83" xfId="0" applyFill="1" applyBorder="1" applyAlignment="1">
      <alignment/>
    </xf>
    <xf numFmtId="10" fontId="88" fillId="0" borderId="166" xfId="0" applyNumberFormat="1" applyFont="1" applyFill="1" applyBorder="1" applyAlignment="1">
      <alignment horizontal="center" vertical="center"/>
    </xf>
    <xf numFmtId="0" fontId="88" fillId="0" borderId="168" xfId="0" applyFont="1" applyFill="1" applyBorder="1" applyAlignment="1">
      <alignment horizontal="center" vertical="center"/>
    </xf>
    <xf numFmtId="0" fontId="88" fillId="0" borderId="170" xfId="0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84" xfId="0" applyFont="1" applyFill="1" applyBorder="1" applyAlignment="1">
      <alignment horizontal="center"/>
    </xf>
    <xf numFmtId="0" fontId="87" fillId="0" borderId="146" xfId="0" applyFont="1" applyFill="1" applyBorder="1" applyAlignment="1">
      <alignment horizontal="center"/>
    </xf>
    <xf numFmtId="0" fontId="82" fillId="0" borderId="146" xfId="0" applyFont="1" applyFill="1" applyBorder="1" applyAlignment="1">
      <alignment horizontal="center"/>
    </xf>
    <xf numFmtId="0" fontId="86" fillId="0" borderId="155" xfId="0" applyFont="1" applyFill="1" applyBorder="1" applyAlignment="1">
      <alignment horizontal="center"/>
    </xf>
    <xf numFmtId="180" fontId="87" fillId="0" borderId="38" xfId="0" applyNumberFormat="1" applyFont="1" applyFill="1" applyBorder="1" applyAlignment="1">
      <alignment horizontal="center"/>
    </xf>
    <xf numFmtId="14" fontId="85" fillId="0" borderId="147" xfId="0" applyNumberFormat="1" applyFont="1" applyFill="1" applyBorder="1" applyAlignment="1">
      <alignment horizontal="center"/>
    </xf>
    <xf numFmtId="0" fontId="85" fillId="0" borderId="107" xfId="0" applyFont="1" applyFill="1" applyBorder="1" applyAlignment="1">
      <alignment horizontal="center"/>
    </xf>
    <xf numFmtId="0" fontId="85" fillId="0" borderId="180" xfId="0" applyFont="1" applyFill="1" applyBorder="1" applyAlignment="1">
      <alignment horizontal="center"/>
    </xf>
    <xf numFmtId="180" fontId="85" fillId="0" borderId="0" xfId="0" applyNumberFormat="1" applyFont="1" applyAlignment="1">
      <alignment horizontal="right"/>
    </xf>
    <xf numFmtId="0" fontId="85" fillId="0" borderId="0" xfId="0" applyFont="1" applyAlignment="1">
      <alignment horizontal="right"/>
    </xf>
    <xf numFmtId="4" fontId="87" fillId="0" borderId="0" xfId="0" applyNumberFormat="1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8" fillId="0" borderId="181" xfId="0" applyFont="1" applyFill="1" applyBorder="1" applyAlignment="1">
      <alignment horizontal="center" vertical="justify"/>
    </xf>
    <xf numFmtId="0" fontId="88" fillId="0" borderId="182" xfId="0" applyFont="1" applyFill="1" applyBorder="1" applyAlignment="1">
      <alignment horizontal="center" vertical="justify"/>
    </xf>
    <xf numFmtId="0" fontId="88" fillId="0" borderId="183" xfId="0" applyFont="1" applyFill="1" applyBorder="1" applyAlignment="1">
      <alignment horizontal="center" vertical="justify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72" fontId="87" fillId="0" borderId="31" xfId="65" applyFont="1" applyFill="1" applyBorder="1" applyAlignment="1">
      <alignment horizontal="center" vertical="center"/>
    </xf>
    <xf numFmtId="172" fontId="0" fillId="0" borderId="35" xfId="65" applyFont="1" applyBorder="1" applyAlignment="1">
      <alignment horizontal="center" vertical="center"/>
    </xf>
    <xf numFmtId="172" fontId="0" fillId="0" borderId="92" xfId="65" applyFont="1" applyBorder="1" applyAlignment="1">
      <alignment horizontal="center" vertical="center"/>
    </xf>
    <xf numFmtId="172" fontId="82" fillId="0" borderId="184" xfId="65" applyFont="1" applyFill="1" applyBorder="1" applyAlignment="1">
      <alignment horizontal="center"/>
    </xf>
    <xf numFmtId="172" fontId="82" fillId="0" borderId="42" xfId="65" applyFont="1" applyFill="1" applyBorder="1" applyAlignment="1">
      <alignment horizontal="center"/>
    </xf>
    <xf numFmtId="172" fontId="82" fillId="0" borderId="26" xfId="65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82" fillId="0" borderId="21" xfId="0" applyFont="1" applyFill="1" applyBorder="1" applyAlignment="1">
      <alignment horizontal="center"/>
    </xf>
    <xf numFmtId="0" fontId="82" fillId="0" borderId="23" xfId="0" applyFont="1" applyFill="1" applyBorder="1" applyAlignment="1">
      <alignment horizontal="center" vertical="justify"/>
    </xf>
    <xf numFmtId="0" fontId="82" fillId="0" borderId="24" xfId="0" applyFont="1" applyFill="1" applyBorder="1" applyAlignment="1">
      <alignment horizontal="center" vertical="justify"/>
    </xf>
    <xf numFmtId="0" fontId="82" fillId="0" borderId="109" xfId="0" applyFont="1" applyFill="1" applyBorder="1" applyAlignment="1">
      <alignment horizontal="center" vertical="justify"/>
    </xf>
    <xf numFmtId="0" fontId="90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2" fillId="0" borderId="25" xfId="0" applyFont="1" applyFill="1" applyBorder="1" applyAlignment="1">
      <alignment horizontal="center"/>
    </xf>
    <xf numFmtId="0" fontId="89" fillId="0" borderId="21" xfId="0" applyFont="1" applyFill="1" applyBorder="1" applyAlignment="1">
      <alignment/>
    </xf>
    <xf numFmtId="0" fontId="89" fillId="0" borderId="27" xfId="0" applyFont="1" applyFill="1" applyBorder="1" applyAlignment="1">
      <alignment/>
    </xf>
    <xf numFmtId="0" fontId="82" fillId="0" borderId="112" xfId="0" applyFont="1" applyFill="1" applyBorder="1" applyAlignment="1">
      <alignment/>
    </xf>
    <xf numFmtId="0" fontId="82" fillId="0" borderId="21" xfId="0" applyFont="1" applyFill="1" applyBorder="1" applyAlignment="1">
      <alignment/>
    </xf>
    <xf numFmtId="0" fontId="82" fillId="0" borderId="115" xfId="0" applyFont="1" applyFill="1" applyBorder="1" applyAlignment="1">
      <alignment horizontal="center" vertical="justify"/>
    </xf>
    <xf numFmtId="0" fontId="82" fillId="0" borderId="116" xfId="0" applyFont="1" applyFill="1" applyBorder="1" applyAlignment="1">
      <alignment horizontal="center" vertical="justify"/>
    </xf>
    <xf numFmtId="0" fontId="93" fillId="0" borderId="132" xfId="0" applyFont="1" applyFill="1" applyBorder="1" applyAlignment="1">
      <alignment horizontal="center"/>
    </xf>
    <xf numFmtId="0" fontId="93" fillId="0" borderId="78" xfId="0" applyFont="1" applyFill="1" applyBorder="1" applyAlignment="1">
      <alignment horizontal="center"/>
    </xf>
    <xf numFmtId="1" fontId="82" fillId="0" borderId="92" xfId="0" applyNumberFormat="1" applyFont="1" applyFill="1" applyBorder="1" applyAlignment="1">
      <alignment horizontal="center" vertical="justify"/>
    </xf>
    <xf numFmtId="0" fontId="94" fillId="0" borderId="0" xfId="0" applyFont="1" applyFill="1" applyBorder="1" applyAlignment="1">
      <alignment horizontal="center" vertical="center"/>
    </xf>
    <xf numFmtId="0" fontId="82" fillId="0" borderId="35" xfId="0" applyFont="1" applyFill="1" applyBorder="1" applyAlignment="1">
      <alignment/>
    </xf>
    <xf numFmtId="0" fontId="82" fillId="0" borderId="117" xfId="0" applyFont="1" applyFill="1" applyBorder="1" applyAlignment="1">
      <alignment horizontal="center" vertical="justify"/>
    </xf>
    <xf numFmtId="0" fontId="82" fillId="0" borderId="185" xfId="0" applyFont="1" applyFill="1" applyBorder="1" applyAlignment="1">
      <alignment horizontal="center" vertical="justify"/>
    </xf>
    <xf numFmtId="0" fontId="82" fillId="0" borderId="92" xfId="0" applyFont="1" applyFill="1" applyBorder="1" applyAlignment="1">
      <alignment/>
    </xf>
    <xf numFmtId="0" fontId="82" fillId="0" borderId="119" xfId="0" applyFont="1" applyFill="1" applyBorder="1" applyAlignment="1">
      <alignment/>
    </xf>
    <xf numFmtId="0" fontId="85" fillId="0" borderId="0" xfId="0" applyFont="1" applyFill="1" applyAlignment="1">
      <alignment horizontal="center"/>
    </xf>
    <xf numFmtId="0" fontId="85" fillId="0" borderId="89" xfId="0" applyFont="1" applyFill="1" applyBorder="1" applyAlignment="1">
      <alignment horizontal="center"/>
    </xf>
    <xf numFmtId="0" fontId="85" fillId="0" borderId="157" xfId="0" applyFont="1" applyFill="1" applyBorder="1" applyAlignment="1">
      <alignment horizontal="center"/>
    </xf>
    <xf numFmtId="0" fontId="100" fillId="0" borderId="31" xfId="0" applyFont="1" applyFill="1" applyBorder="1" applyAlignment="1">
      <alignment/>
    </xf>
    <xf numFmtId="3" fontId="99" fillId="0" borderId="90" xfId="0" applyNumberFormat="1" applyFont="1" applyFill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96" fillId="0" borderId="0" xfId="0" applyFont="1" applyFill="1" applyBorder="1" applyAlignment="1">
      <alignment/>
    </xf>
    <xf numFmtId="0" fontId="92" fillId="0" borderId="31" xfId="0" applyFont="1" applyFill="1" applyBorder="1" applyAlignment="1">
      <alignment horizontal="left" vertical="center"/>
    </xf>
    <xf numFmtId="0" fontId="92" fillId="0" borderId="35" xfId="0" applyFont="1" applyFill="1" applyBorder="1" applyAlignment="1">
      <alignment horizontal="center" vertical="justify"/>
    </xf>
    <xf numFmtId="0" fontId="92" fillId="0" borderId="159" xfId="0" applyFont="1" applyFill="1" applyBorder="1" applyAlignment="1">
      <alignment horizontal="center" vertical="justify"/>
    </xf>
    <xf numFmtId="0" fontId="92" fillId="0" borderId="92" xfId="0" applyFont="1" applyFill="1" applyBorder="1" applyAlignment="1">
      <alignment horizontal="center" vertical="justify"/>
    </xf>
    <xf numFmtId="0" fontId="92" fillId="0" borderId="35" xfId="0" applyFont="1" applyFill="1" applyBorder="1" applyAlignment="1">
      <alignment vertical="justify"/>
    </xf>
    <xf numFmtId="0" fontId="92" fillId="0" borderId="159" xfId="0" applyFont="1" applyFill="1" applyBorder="1" applyAlignment="1">
      <alignment vertical="justify"/>
    </xf>
    <xf numFmtId="0" fontId="92" fillId="0" borderId="92" xfId="0" applyFont="1" applyFill="1" applyBorder="1" applyAlignment="1">
      <alignment vertical="justify"/>
    </xf>
    <xf numFmtId="0" fontId="92" fillId="0" borderId="31" xfId="0" applyFont="1" applyFill="1" applyBorder="1" applyAlignment="1">
      <alignment vertical="justify"/>
    </xf>
    <xf numFmtId="0" fontId="92" fillId="0" borderId="35" xfId="0" applyFont="1" applyFill="1" applyBorder="1" applyAlignment="1">
      <alignment horizontal="center" vertical="top"/>
    </xf>
    <xf numFmtId="0" fontId="92" fillId="0" borderId="159" xfId="0" applyFont="1" applyFill="1" applyBorder="1" applyAlignment="1">
      <alignment horizontal="center" vertical="top"/>
    </xf>
    <xf numFmtId="0" fontId="92" fillId="0" borderId="92" xfId="0" applyFont="1" applyFill="1" applyBorder="1" applyAlignment="1">
      <alignment horizontal="center" vertical="top"/>
    </xf>
    <xf numFmtId="0" fontId="92" fillId="0" borderId="31" xfId="0" applyFont="1" applyFill="1" applyBorder="1" applyAlignment="1">
      <alignment horizontal="left" vertical="top"/>
    </xf>
    <xf numFmtId="0" fontId="92" fillId="0" borderId="3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8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5" fillId="0" borderId="187" xfId="0" applyFont="1" applyBorder="1" applyAlignment="1">
      <alignment horizontal="center"/>
    </xf>
    <xf numFmtId="0" fontId="7" fillId="0" borderId="188" xfId="0" applyFont="1" applyBorder="1" applyAlignment="1">
      <alignment horizontal="right"/>
    </xf>
    <xf numFmtId="0" fontId="7" fillId="0" borderId="188" xfId="0" applyFont="1" applyBorder="1" applyAlignment="1">
      <alignment horizontal="center"/>
    </xf>
    <xf numFmtId="0" fontId="7" fillId="0" borderId="52" xfId="0" applyFont="1" applyBorder="1" applyAlignment="1">
      <alignment horizontal="right"/>
    </xf>
    <xf numFmtId="0" fontId="6" fillId="0" borderId="70" xfId="0" applyFont="1" applyBorder="1" applyAlignment="1">
      <alignment horizontal="right"/>
    </xf>
    <xf numFmtId="2" fontId="6" fillId="0" borderId="189" xfId="0" applyNumberFormat="1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2" fontId="0" fillId="0" borderId="6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0" borderId="187" xfId="0" applyNumberFormat="1" applyFont="1" applyBorder="1" applyAlignment="1">
      <alignment horizontal="center"/>
    </xf>
    <xf numFmtId="0" fontId="7" fillId="0" borderId="51" xfId="0" applyFont="1" applyBorder="1" applyAlignment="1">
      <alignment horizontal="right"/>
    </xf>
    <xf numFmtId="2" fontId="0" fillId="0" borderId="51" xfId="0" applyNumberFormat="1" applyBorder="1" applyAlignment="1">
      <alignment horizontal="center"/>
    </xf>
    <xf numFmtId="0" fontId="85" fillId="0" borderId="190" xfId="0" applyFont="1" applyFill="1" applyBorder="1" applyAlignment="1">
      <alignment horizontal="center" vertical="justify"/>
    </xf>
    <xf numFmtId="0" fontId="85" fillId="0" borderId="191" xfId="0" applyFont="1" applyFill="1" applyBorder="1" applyAlignment="1">
      <alignment horizontal="center" vertical="justify"/>
    </xf>
    <xf numFmtId="0" fontId="85" fillId="0" borderId="132" xfId="0" applyFont="1" applyFill="1" applyBorder="1" applyAlignment="1">
      <alignment horizontal="center"/>
    </xf>
    <xf numFmtId="0" fontId="85" fillId="0" borderId="167" xfId="0" applyFont="1" applyFill="1" applyBorder="1" applyAlignment="1">
      <alignment horizontal="center"/>
    </xf>
    <xf numFmtId="0" fontId="85" fillId="0" borderId="172" xfId="0" applyFont="1" applyFill="1" applyBorder="1" applyAlignment="1">
      <alignment horizontal="center"/>
    </xf>
    <xf numFmtId="0" fontId="85" fillId="0" borderId="101" xfId="0" applyFont="1" applyFill="1" applyBorder="1" applyAlignment="1">
      <alignment horizontal="center"/>
    </xf>
    <xf numFmtId="0" fontId="85" fillId="0" borderId="161" xfId="0" applyFont="1" applyFill="1" applyBorder="1" applyAlignment="1">
      <alignment horizontal="right" vertical="justify" textRotation="90"/>
    </xf>
    <xf numFmtId="0" fontId="85" fillId="0" borderId="34" xfId="0" applyFont="1" applyFill="1" applyBorder="1" applyAlignment="1">
      <alignment vertical="justify" wrapText="1"/>
    </xf>
    <xf numFmtId="0" fontId="85" fillId="0" borderId="31" xfId="0" applyFont="1" applyFill="1" applyBorder="1" applyAlignment="1">
      <alignment vertical="justify" wrapText="1"/>
    </xf>
    <xf numFmtId="0" fontId="85" fillId="0" borderId="32" xfId="0" applyFont="1" applyFill="1" applyBorder="1" applyAlignment="1">
      <alignment vertical="justify" wrapText="1"/>
    </xf>
    <xf numFmtId="0" fontId="85" fillId="0" borderId="34" xfId="0" applyFont="1" applyFill="1" applyBorder="1" applyAlignment="1">
      <alignment vertical="justify"/>
    </xf>
    <xf numFmtId="0" fontId="85" fillId="0" borderId="31" xfId="0" applyFont="1" applyFill="1" applyBorder="1" applyAlignment="1">
      <alignment vertical="justify"/>
    </xf>
    <xf numFmtId="0" fontId="85" fillId="0" borderId="32" xfId="0" applyFont="1" applyFill="1" applyBorder="1" applyAlignment="1">
      <alignment vertical="justify"/>
    </xf>
    <xf numFmtId="0" fontId="85" fillId="0" borderId="156" xfId="0" applyFont="1" applyFill="1" applyBorder="1" applyAlignment="1">
      <alignment horizontal="center"/>
    </xf>
    <xf numFmtId="0" fontId="85" fillId="0" borderId="164" xfId="0" applyFont="1" applyFill="1" applyBorder="1" applyAlignment="1">
      <alignment horizontal="center" vertical="center"/>
    </xf>
    <xf numFmtId="0" fontId="85" fillId="0" borderId="192" xfId="0" applyFont="1" applyFill="1" applyBorder="1" applyAlignment="1">
      <alignment horizontal="center" vertical="center"/>
    </xf>
    <xf numFmtId="0" fontId="85" fillId="0" borderId="46" xfId="0" applyFont="1" applyFill="1" applyBorder="1" applyAlignment="1">
      <alignment horizontal="left"/>
    </xf>
    <xf numFmtId="0" fontId="85" fillId="0" borderId="31" xfId="0" applyFont="1" applyFill="1" applyBorder="1" applyAlignment="1">
      <alignment horizontal="left"/>
    </xf>
    <xf numFmtId="0" fontId="85" fillId="0" borderId="101" xfId="0" applyFont="1" applyFill="1" applyBorder="1" applyAlignment="1">
      <alignment vertical="justify"/>
    </xf>
    <xf numFmtId="0" fontId="85" fillId="0" borderId="92" xfId="0" applyFont="1" applyFill="1" applyBorder="1" applyAlignment="1">
      <alignment vertical="justify"/>
    </xf>
    <xf numFmtId="0" fontId="85" fillId="0" borderId="95" xfId="0" applyFont="1" applyFill="1" applyBorder="1" applyAlignment="1">
      <alignment vertical="justify"/>
    </xf>
    <xf numFmtId="0" fontId="85" fillId="0" borderId="173" xfId="0" applyFont="1" applyFill="1" applyBorder="1" applyAlignment="1">
      <alignment vertical="justify"/>
    </xf>
    <xf numFmtId="0" fontId="85" fillId="0" borderId="33" xfId="0" applyFont="1" applyFill="1" applyBorder="1" applyAlignment="1">
      <alignment vertical="justify"/>
    </xf>
    <xf numFmtId="0" fontId="85" fillId="0" borderId="193" xfId="0" applyFont="1" applyFill="1" applyBorder="1" applyAlignment="1">
      <alignment vertical="justify"/>
    </xf>
    <xf numFmtId="0" fontId="85" fillId="0" borderId="176" xfId="0" applyFont="1" applyFill="1" applyBorder="1" applyAlignment="1">
      <alignment horizontal="center" vertical="justify"/>
    </xf>
    <xf numFmtId="0" fontId="85" fillId="0" borderId="156" xfId="0" applyFont="1" applyFill="1" applyBorder="1" applyAlignment="1">
      <alignment horizontal="center" vertical="justify"/>
    </xf>
    <xf numFmtId="0" fontId="85" fillId="0" borderId="93" xfId="0" applyFont="1" applyFill="1" applyBorder="1" applyAlignment="1">
      <alignment horizontal="center" vertical="justify"/>
    </xf>
    <xf numFmtId="0" fontId="85" fillId="0" borderId="169" xfId="0" applyFont="1" applyFill="1" applyBorder="1" applyAlignment="1">
      <alignment horizontal="center" vertical="justify"/>
    </xf>
    <xf numFmtId="0" fontId="85" fillId="0" borderId="145" xfId="0" applyFont="1" applyFill="1" applyBorder="1" applyAlignment="1">
      <alignment horizontal="center" vertical="justify"/>
    </xf>
    <xf numFmtId="0" fontId="85" fillId="0" borderId="94" xfId="0" applyFont="1" applyFill="1" applyBorder="1" applyAlignment="1">
      <alignment horizontal="center" vertical="justify"/>
    </xf>
    <xf numFmtId="0" fontId="85" fillId="0" borderId="138" xfId="0" applyFont="1" applyFill="1" applyBorder="1" applyAlignment="1">
      <alignment horizontal="center" vertical="justify"/>
    </xf>
    <xf numFmtId="0" fontId="85" fillId="0" borderId="74" xfId="0" applyFont="1" applyFill="1" applyBorder="1" applyAlignment="1">
      <alignment horizontal="center" vertical="justify"/>
    </xf>
    <xf numFmtId="172" fontId="85" fillId="0" borderId="124" xfId="65" applyFont="1" applyFill="1" applyBorder="1" applyAlignment="1">
      <alignment horizontal="center" vertical="center"/>
    </xf>
    <xf numFmtId="172" fontId="85" fillId="0" borderId="100" xfId="65" applyFont="1" applyFill="1" applyBorder="1" applyAlignment="1">
      <alignment horizontal="center" vertical="center"/>
    </xf>
    <xf numFmtId="172" fontId="85" fillId="0" borderId="166" xfId="65" applyFont="1" applyFill="1" applyBorder="1" applyAlignment="1">
      <alignment horizontal="center" vertical="center"/>
    </xf>
    <xf numFmtId="172" fontId="85" fillId="0" borderId="170" xfId="65" applyFont="1" applyFill="1" applyBorder="1" applyAlignment="1">
      <alignment horizontal="center" vertical="center"/>
    </xf>
    <xf numFmtId="172" fontId="86" fillId="0" borderId="78" xfId="65" applyFont="1" applyFill="1" applyBorder="1" applyAlignment="1">
      <alignment horizontal="right"/>
    </xf>
    <xf numFmtId="0" fontId="85" fillId="0" borderId="165" xfId="0" applyFont="1" applyFill="1" applyBorder="1" applyAlignment="1">
      <alignment horizontal="center" vertical="center"/>
    </xf>
    <xf numFmtId="0" fontId="85" fillId="0" borderId="178" xfId="0" applyFont="1" applyFill="1" applyBorder="1" applyAlignment="1">
      <alignment horizontal="center" vertical="center"/>
    </xf>
    <xf numFmtId="0" fontId="85" fillId="0" borderId="86" xfId="0" applyFont="1" applyFill="1" applyBorder="1" applyAlignment="1">
      <alignment vertical="justify"/>
    </xf>
    <xf numFmtId="0" fontId="85" fillId="0" borderId="35" xfId="0" applyFont="1" applyFill="1" applyBorder="1" applyAlignment="1">
      <alignment vertical="justify"/>
    </xf>
    <xf numFmtId="0" fontId="85" fillId="0" borderId="125" xfId="0" applyFont="1" applyFill="1" applyBorder="1" applyAlignment="1">
      <alignment vertical="justify"/>
    </xf>
    <xf numFmtId="0" fontId="82" fillId="0" borderId="89" xfId="0" applyFont="1" applyFill="1" applyBorder="1" applyAlignment="1">
      <alignment horizontal="center" vertical="justify"/>
    </xf>
    <xf numFmtId="0" fontId="82" fillId="0" borderId="46" xfId="0" applyFont="1" applyFill="1" applyBorder="1" applyAlignment="1">
      <alignment horizontal="center" vertical="justify"/>
    </xf>
    <xf numFmtId="49" fontId="82" fillId="0" borderId="165" xfId="0" applyNumberFormat="1" applyFont="1" applyFill="1" applyBorder="1" applyAlignment="1">
      <alignment horizontal="center" vertical="center"/>
    </xf>
    <xf numFmtId="49" fontId="82" fillId="0" borderId="159" xfId="0" applyNumberFormat="1" applyFont="1" applyFill="1" applyBorder="1" applyAlignment="1">
      <alignment horizontal="center" vertical="center"/>
    </xf>
    <xf numFmtId="49" fontId="82" fillId="0" borderId="92" xfId="0" applyNumberFormat="1" applyFont="1" applyFill="1" applyBorder="1" applyAlignment="1">
      <alignment horizontal="center" vertical="center"/>
    </xf>
    <xf numFmtId="49" fontId="82" fillId="0" borderId="166" xfId="0" applyNumberFormat="1" applyFont="1" applyFill="1" applyBorder="1" applyAlignment="1">
      <alignment horizontal="center" vertical="center"/>
    </xf>
    <xf numFmtId="49" fontId="82" fillId="0" borderId="168" xfId="0" applyNumberFormat="1" applyFont="1" applyFill="1" applyBorder="1" applyAlignment="1">
      <alignment horizontal="center" vertical="center"/>
    </xf>
    <xf numFmtId="49" fontId="82" fillId="0" borderId="100" xfId="0" applyNumberFormat="1" applyFont="1" applyFill="1" applyBorder="1" applyAlignment="1">
      <alignment horizontal="center" vertical="center"/>
    </xf>
    <xf numFmtId="0" fontId="82" fillId="0" borderId="49" xfId="0" applyFont="1" applyFill="1" applyBorder="1" applyAlignment="1">
      <alignment horizontal="center"/>
    </xf>
    <xf numFmtId="0" fontId="82" fillId="0" borderId="194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103" xfId="0" applyFont="1" applyFill="1" applyBorder="1" applyAlignment="1">
      <alignment horizontal="center"/>
    </xf>
    <xf numFmtId="0" fontId="19" fillId="0" borderId="167" xfId="0" applyFont="1" applyBorder="1" applyAlignment="1">
      <alignment horizontal="left" vertical="justify" wrapText="1"/>
    </xf>
    <xf numFmtId="0" fontId="19" fillId="0" borderId="158" xfId="0" applyFont="1" applyBorder="1" applyAlignment="1">
      <alignment horizontal="left" vertical="justify" wrapText="1"/>
    </xf>
    <xf numFmtId="0" fontId="19" fillId="0" borderId="101" xfId="0" applyFont="1" applyBorder="1" applyAlignment="1">
      <alignment horizontal="left" vertical="justify" wrapText="1"/>
    </xf>
    <xf numFmtId="203" fontId="19" fillId="0" borderId="166" xfId="0" applyNumberFormat="1" applyFont="1" applyBorder="1" applyAlignment="1">
      <alignment horizontal="center" vertical="justify"/>
    </xf>
    <xf numFmtId="203" fontId="19" fillId="0" borderId="168" xfId="0" applyNumberFormat="1" applyFont="1" applyBorder="1" applyAlignment="1">
      <alignment horizontal="center" vertical="justify"/>
    </xf>
    <xf numFmtId="203" fontId="19" fillId="0" borderId="100" xfId="0" applyNumberFormat="1" applyFont="1" applyBorder="1" applyAlignment="1">
      <alignment horizontal="center" vertical="justify"/>
    </xf>
    <xf numFmtId="0" fontId="19" fillId="0" borderId="86" xfId="0" applyFont="1" applyBorder="1" applyAlignment="1">
      <alignment horizontal="center" vertical="justify" wrapText="1"/>
    </xf>
    <xf numFmtId="0" fontId="19" fillId="0" borderId="101" xfId="0" applyFont="1" applyBorder="1" applyAlignment="1">
      <alignment horizontal="center" vertical="justify" wrapText="1"/>
    </xf>
    <xf numFmtId="203" fontId="19" fillId="0" borderId="124" xfId="0" applyNumberFormat="1" applyFont="1" applyBorder="1" applyAlignment="1">
      <alignment horizontal="center" vertical="justify"/>
    </xf>
    <xf numFmtId="0" fontId="19" fillId="0" borderId="141" xfId="0" applyFont="1" applyBorder="1" applyAlignment="1">
      <alignment horizontal="left" vertical="justify" wrapText="1"/>
    </xf>
    <xf numFmtId="0" fontId="19" fillId="0" borderId="96" xfId="0" applyFont="1" applyBorder="1" applyAlignment="1">
      <alignment horizontal="left" vertical="justify" wrapText="1"/>
    </xf>
    <xf numFmtId="203" fontId="19" fillId="0" borderId="90" xfId="0" applyNumberFormat="1" applyFont="1" applyBorder="1" applyAlignment="1">
      <alignment vertical="justify"/>
    </xf>
    <xf numFmtId="0" fontId="19" fillId="0" borderId="46" xfId="0" applyFont="1" applyBorder="1" applyAlignment="1">
      <alignment vertical="justify" wrapText="1"/>
    </xf>
    <xf numFmtId="203" fontId="19" fillId="0" borderId="124" xfId="0" applyNumberFormat="1" applyFont="1" applyBorder="1" applyAlignment="1">
      <alignment vertical="justify"/>
    </xf>
    <xf numFmtId="203" fontId="19" fillId="0" borderId="168" xfId="0" applyNumberFormat="1" applyFont="1" applyBorder="1" applyAlignment="1">
      <alignment vertical="justify"/>
    </xf>
    <xf numFmtId="203" fontId="19" fillId="0" borderId="100" xfId="0" applyNumberFormat="1" applyFont="1" applyBorder="1" applyAlignment="1">
      <alignment vertical="justify"/>
    </xf>
    <xf numFmtId="0" fontId="19" fillId="0" borderId="86" xfId="0" applyFont="1" applyBorder="1" applyAlignment="1">
      <alignment horizontal="left" vertical="justify" wrapText="1"/>
    </xf>
    <xf numFmtId="0" fontId="19" fillId="0" borderId="195" xfId="0" applyFont="1" applyBorder="1" applyAlignment="1">
      <alignment horizontal="left" vertical="justify" wrapText="1"/>
    </xf>
    <xf numFmtId="0" fontId="19" fillId="0" borderId="86" xfId="0" applyFont="1" applyBorder="1" applyAlignment="1">
      <alignment horizontal="left" vertical="justify"/>
    </xf>
    <xf numFmtId="0" fontId="19" fillId="0" borderId="101" xfId="0" applyFont="1" applyBorder="1" applyAlignment="1">
      <alignment horizontal="left" vertical="justify"/>
    </xf>
    <xf numFmtId="203" fontId="19" fillId="0" borderId="90" xfId="0" applyNumberFormat="1" applyFont="1" applyBorder="1" applyAlignment="1">
      <alignment horizontal="center" vertical="justify"/>
    </xf>
    <xf numFmtId="0" fontId="19" fillId="0" borderId="192" xfId="0" applyFont="1" applyBorder="1" applyAlignment="1">
      <alignment horizontal="left" vertical="justify" wrapText="1"/>
    </xf>
    <xf numFmtId="203" fontId="19" fillId="0" borderId="170" xfId="0" applyNumberFormat="1" applyFont="1" applyBorder="1" applyAlignment="1">
      <alignment horizontal="center" vertical="justify"/>
    </xf>
    <xf numFmtId="0" fontId="19" fillId="0" borderId="46" xfId="0" applyFont="1" applyBorder="1" applyAlignment="1">
      <alignment horizontal="left" vertical="justify"/>
    </xf>
    <xf numFmtId="0" fontId="87" fillId="0" borderId="93" xfId="0" applyFont="1" applyFill="1" applyBorder="1" applyAlignment="1">
      <alignment horizontal="center" vertical="center"/>
    </xf>
    <xf numFmtId="0" fontId="87" fillId="0" borderId="176" xfId="0" applyFont="1" applyFill="1" applyBorder="1" applyAlignment="1">
      <alignment horizontal="center" vertical="center"/>
    </xf>
    <xf numFmtId="0" fontId="87" fillId="0" borderId="78" xfId="0" applyFont="1" applyFill="1" applyBorder="1" applyAlignment="1">
      <alignment horizontal="left" vertical="justify"/>
    </xf>
    <xf numFmtId="0" fontId="87" fillId="0" borderId="0" xfId="0" applyFont="1" applyFill="1" applyBorder="1" applyAlignment="1">
      <alignment horizontal="left" vertical="justify"/>
    </xf>
    <xf numFmtId="4" fontId="90" fillId="0" borderId="74" xfId="0" applyNumberFormat="1" applyFont="1" applyFill="1" applyBorder="1" applyAlignment="1">
      <alignment horizontal="right"/>
    </xf>
    <xf numFmtId="4" fontId="90" fillId="0" borderId="73" xfId="0" applyNumberFormat="1" applyFont="1" applyFill="1" applyBorder="1" applyAlignment="1">
      <alignment horizontal="right"/>
    </xf>
    <xf numFmtId="0" fontId="87" fillId="0" borderId="46" xfId="0" applyFont="1" applyFill="1" applyBorder="1" applyAlignment="1">
      <alignment horizontal="left" vertical="justify"/>
    </xf>
    <xf numFmtId="0" fontId="87" fillId="0" borderId="31" xfId="0" applyFont="1" applyFill="1" applyBorder="1" applyAlignment="1">
      <alignment horizontal="left" vertical="justify"/>
    </xf>
    <xf numFmtId="0" fontId="101" fillId="0" borderId="46" xfId="0" applyFont="1" applyFill="1" applyBorder="1" applyAlignment="1">
      <alignment horizontal="left" vertical="justify"/>
    </xf>
    <xf numFmtId="0" fontId="101" fillId="0" borderId="31" xfId="0" applyFont="1" applyFill="1" applyBorder="1" applyAlignment="1">
      <alignment horizontal="left" vertical="justify"/>
    </xf>
    <xf numFmtId="172" fontId="87" fillId="0" borderId="31" xfId="65" applyFont="1" applyFill="1" applyBorder="1" applyAlignment="1">
      <alignment horizontal="center"/>
    </xf>
    <xf numFmtId="172" fontId="87" fillId="0" borderId="90" xfId="65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62" fillId="0" borderId="0" xfId="0" applyFont="1" applyFill="1" applyBorder="1" applyAlignment="1">
      <alignment/>
    </xf>
    <xf numFmtId="0" fontId="87" fillId="0" borderId="156" xfId="0" applyFont="1" applyFill="1" applyBorder="1" applyAlignment="1">
      <alignment horizontal="center" vertical="justify"/>
    </xf>
    <xf numFmtId="0" fontId="87" fillId="0" borderId="93" xfId="0" applyFont="1" applyFill="1" applyBorder="1" applyAlignment="1">
      <alignment horizontal="center" vertical="justify"/>
    </xf>
    <xf numFmtId="0" fontId="87" fillId="0" borderId="144" xfId="0" applyFont="1" applyFill="1" applyBorder="1" applyAlignment="1">
      <alignment horizontal="center" vertical="justify"/>
    </xf>
    <xf numFmtId="0" fontId="101" fillId="0" borderId="96" xfId="0" applyFont="1" applyFill="1" applyBorder="1" applyAlignment="1">
      <alignment/>
    </xf>
    <xf numFmtId="0" fontId="101" fillId="0" borderId="92" xfId="0" applyFont="1" applyFill="1" applyBorder="1" applyAlignment="1">
      <alignment/>
    </xf>
    <xf numFmtId="0" fontId="85" fillId="0" borderId="196" xfId="0" applyFont="1" applyFill="1" applyBorder="1" applyAlignment="1">
      <alignment horizontal="left" vertical="justify"/>
    </xf>
    <xf numFmtId="0" fontId="85" fillId="0" borderId="24" xfId="0" applyFont="1" applyFill="1" applyBorder="1" applyAlignment="1">
      <alignment horizontal="left" vertical="justify"/>
    </xf>
    <xf numFmtId="0" fontId="85" fillId="0" borderId="25" xfId="0" applyFont="1" applyFill="1" applyBorder="1" applyAlignment="1">
      <alignment horizontal="left" vertical="justify"/>
    </xf>
    <xf numFmtId="0" fontId="85" fillId="0" borderId="197" xfId="0" applyFont="1" applyFill="1" applyBorder="1" applyAlignment="1">
      <alignment horizontal="left" vertical="justify"/>
    </xf>
    <xf numFmtId="0" fontId="85" fillId="0" borderId="198" xfId="0" applyFont="1" applyFill="1" applyBorder="1" applyAlignment="1">
      <alignment horizontal="left" vertical="justify"/>
    </xf>
    <xf numFmtId="0" fontId="85" fillId="0" borderId="199" xfId="0" applyFont="1" applyFill="1" applyBorder="1" applyAlignment="1">
      <alignment horizontal="left" vertical="justify"/>
    </xf>
    <xf numFmtId="0" fontId="85" fillId="0" borderId="196" xfId="0" applyFont="1" applyFill="1" applyBorder="1" applyAlignment="1">
      <alignment horizontal="center" vertical="justify"/>
    </xf>
    <xf numFmtId="0" fontId="85" fillId="0" borderId="24" xfId="0" applyFont="1" applyFill="1" applyBorder="1" applyAlignment="1">
      <alignment horizontal="center" vertical="justify"/>
    </xf>
    <xf numFmtId="0" fontId="85" fillId="0" borderId="25" xfId="0" applyFont="1" applyFill="1" applyBorder="1" applyAlignment="1">
      <alignment horizontal="center" vertical="justify"/>
    </xf>
    <xf numFmtId="0" fontId="82" fillId="0" borderId="117" xfId="0" applyFont="1" applyFill="1" applyBorder="1" applyAlignment="1">
      <alignment horizontal="center" vertical="center"/>
    </xf>
    <xf numFmtId="0" fontId="82" fillId="0" borderId="185" xfId="0" applyFont="1" applyFill="1" applyBorder="1" applyAlignment="1">
      <alignment horizontal="center" vertical="center"/>
    </xf>
    <xf numFmtId="0" fontId="82" fillId="0" borderId="200" xfId="0" applyFont="1" applyFill="1" applyBorder="1" applyAlignment="1">
      <alignment horizontal="center" vertical="center"/>
    </xf>
    <xf numFmtId="0" fontId="93" fillId="0" borderId="175" xfId="0" applyFont="1" applyFill="1" applyBorder="1" applyAlignment="1">
      <alignment horizontal="center"/>
    </xf>
    <xf numFmtId="1" fontId="82" fillId="0" borderId="93" xfId="0" applyNumberFormat="1" applyFont="1" applyFill="1" applyBorder="1" applyAlignment="1">
      <alignment horizontal="center" vertical="justify"/>
    </xf>
    <xf numFmtId="1" fontId="82" fillId="0" borderId="143" xfId="0" applyNumberFormat="1" applyFont="1" applyFill="1" applyBorder="1" applyAlignment="1">
      <alignment horizontal="center" vertical="justify"/>
    </xf>
    <xf numFmtId="1" fontId="82" fillId="0" borderId="144" xfId="0" applyNumberFormat="1" applyFont="1" applyFill="1" applyBorder="1" applyAlignment="1">
      <alignment horizontal="center" vertical="justify"/>
    </xf>
    <xf numFmtId="0" fontId="94" fillId="0" borderId="103" xfId="0" applyFont="1" applyFill="1" applyBorder="1" applyAlignment="1">
      <alignment horizontal="center" vertical="center"/>
    </xf>
    <xf numFmtId="2" fontId="92" fillId="0" borderId="0" xfId="0" applyNumberFormat="1" applyFont="1" applyBorder="1" applyAlignment="1">
      <alignment horizontal="center"/>
    </xf>
    <xf numFmtId="0" fontId="16" fillId="0" borderId="55" xfId="0" applyFont="1" applyBorder="1" applyAlignment="1">
      <alignment horizontal="center" vertical="justify"/>
    </xf>
    <xf numFmtId="0" fontId="16" fillId="0" borderId="60" xfId="0" applyFont="1" applyBorder="1" applyAlignment="1">
      <alignment horizontal="center" vertical="justify"/>
    </xf>
    <xf numFmtId="0" fontId="92" fillId="0" borderId="55" xfId="0" applyFont="1" applyBorder="1" applyAlignment="1">
      <alignment horizontal="center" vertical="justify"/>
    </xf>
    <xf numFmtId="0" fontId="92" fillId="0" borderId="60" xfId="0" applyFont="1" applyBorder="1" applyAlignment="1">
      <alignment horizontal="center" vertical="justify"/>
    </xf>
    <xf numFmtId="2" fontId="17" fillId="0" borderId="201" xfId="0" applyNumberFormat="1" applyFont="1" applyBorder="1" applyAlignment="1">
      <alignment horizontal="center"/>
    </xf>
    <xf numFmtId="2" fontId="17" fillId="0" borderId="187" xfId="0" applyNumberFormat="1" applyFont="1" applyBorder="1" applyAlignment="1">
      <alignment horizontal="center"/>
    </xf>
    <xf numFmtId="2" fontId="17" fillId="0" borderId="202" xfId="0" applyNumberFormat="1" applyFont="1" applyBorder="1" applyAlignment="1">
      <alignment horizontal="center"/>
    </xf>
    <xf numFmtId="2" fontId="17" fillId="0" borderId="203" xfId="0" applyNumberFormat="1" applyFont="1" applyBorder="1" applyAlignment="1">
      <alignment horizontal="center"/>
    </xf>
    <xf numFmtId="2" fontId="17" fillId="0" borderId="204" xfId="0" applyNumberFormat="1" applyFont="1" applyBorder="1" applyAlignment="1">
      <alignment horizontal="center"/>
    </xf>
    <xf numFmtId="2" fontId="17" fillId="0" borderId="205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142" xfId="0" applyFont="1" applyBorder="1" applyAlignment="1">
      <alignment horizontal="right"/>
    </xf>
    <xf numFmtId="2" fontId="17" fillId="0" borderId="189" xfId="0" applyNumberFormat="1" applyFont="1" applyBorder="1" applyAlignment="1">
      <alignment horizontal="center"/>
    </xf>
    <xf numFmtId="0" fontId="17" fillId="0" borderId="132" xfId="0" applyFont="1" applyBorder="1" applyAlignment="1">
      <alignment horizontal="left"/>
    </xf>
    <xf numFmtId="0" fontId="17" fillId="0" borderId="206" xfId="0" applyFont="1" applyBorder="1" applyAlignment="1">
      <alignment horizontal="left"/>
    </xf>
    <xf numFmtId="2" fontId="92" fillId="0" borderId="207" xfId="0" applyNumberFormat="1" applyFont="1" applyBorder="1" applyAlignment="1">
      <alignment horizontal="center"/>
    </xf>
    <xf numFmtId="2" fontId="92" fillId="0" borderId="208" xfId="0" applyNumberFormat="1" applyFont="1" applyBorder="1" applyAlignment="1">
      <alignment horizontal="center"/>
    </xf>
    <xf numFmtId="2" fontId="92" fillId="0" borderId="209" xfId="0" applyNumberFormat="1" applyFont="1" applyBorder="1" applyAlignment="1">
      <alignment horizontal="center"/>
    </xf>
    <xf numFmtId="0" fontId="92" fillId="0" borderId="5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7" xfId="0" applyFont="1" applyBorder="1" applyAlignment="1">
      <alignment horizontal="center"/>
    </xf>
    <xf numFmtId="0" fontId="59" fillId="0" borderId="188" xfId="0" applyFont="1" applyBorder="1" applyAlignment="1">
      <alignment horizontal="right"/>
    </xf>
    <xf numFmtId="0" fontId="59" fillId="0" borderId="188" xfId="0" applyFont="1" applyBorder="1" applyAlignment="1">
      <alignment horizontal="center"/>
    </xf>
    <xf numFmtId="0" fontId="59" fillId="0" borderId="52" xfId="0" applyFont="1" applyBorder="1" applyAlignment="1">
      <alignment horizontal="right"/>
    </xf>
    <xf numFmtId="0" fontId="17" fillId="0" borderId="51" xfId="0" applyFont="1" applyBorder="1" applyAlignment="1">
      <alignment/>
    </xf>
    <xf numFmtId="0" fontId="17" fillId="0" borderId="0" xfId="0" applyFont="1" applyBorder="1" applyAlignment="1">
      <alignment/>
    </xf>
    <xf numFmtId="0" fontId="59" fillId="0" borderId="52" xfId="0" applyFont="1" applyBorder="1" applyAlignment="1">
      <alignment horizontal="center"/>
    </xf>
    <xf numFmtId="0" fontId="17" fillId="0" borderId="127" xfId="0" applyFont="1" applyBorder="1" applyAlignment="1">
      <alignment horizontal="right"/>
    </xf>
    <xf numFmtId="0" fontId="92" fillId="0" borderId="210" xfId="0" applyFont="1" applyBorder="1" applyAlignment="1">
      <alignment horizontal="center"/>
    </xf>
    <xf numFmtId="0" fontId="92" fillId="0" borderId="211" xfId="0" applyFont="1" applyBorder="1" applyAlignment="1">
      <alignment horizontal="center"/>
    </xf>
    <xf numFmtId="0" fontId="92" fillId="0" borderId="212" xfId="0" applyFont="1" applyBorder="1" applyAlignment="1">
      <alignment horizontal="center"/>
    </xf>
    <xf numFmtId="0" fontId="16" fillId="0" borderId="201" xfId="0" applyFont="1" applyBorder="1" applyAlignment="1">
      <alignment horizontal="center"/>
    </xf>
    <xf numFmtId="0" fontId="16" fillId="0" borderId="202" xfId="0" applyFont="1" applyBorder="1" applyAlignment="1">
      <alignment horizontal="center"/>
    </xf>
    <xf numFmtId="0" fontId="16" fillId="0" borderId="213" xfId="0" applyFont="1" applyBorder="1" applyAlignment="1">
      <alignment horizontal="center" vertical="justify"/>
    </xf>
    <xf numFmtId="0" fontId="92" fillId="0" borderId="214" xfId="0" applyFont="1" applyBorder="1" applyAlignment="1">
      <alignment horizontal="center" vertical="justify"/>
    </xf>
    <xf numFmtId="0" fontId="16" fillId="0" borderId="215" xfId="0" applyFont="1" applyBorder="1" applyAlignment="1">
      <alignment horizontal="center" vertical="justify"/>
    </xf>
    <xf numFmtId="0" fontId="92" fillId="0" borderId="216" xfId="0" applyFont="1" applyBorder="1" applyAlignment="1">
      <alignment horizontal="center" vertical="justify"/>
    </xf>
    <xf numFmtId="0" fontId="92" fillId="0" borderId="217" xfId="0" applyFont="1" applyBorder="1" applyAlignment="1">
      <alignment/>
    </xf>
    <xf numFmtId="0" fontId="92" fillId="0" borderId="214" xfId="0" applyFont="1" applyBorder="1" applyAlignment="1">
      <alignment/>
    </xf>
    <xf numFmtId="0" fontId="16" fillId="0" borderId="161" xfId="0" applyFont="1" applyBorder="1" applyAlignment="1">
      <alignment horizontal="center"/>
    </xf>
    <xf numFmtId="0" fontId="92" fillId="0" borderId="218" xfId="0" applyFont="1" applyBorder="1" applyAlignment="1">
      <alignment/>
    </xf>
    <xf numFmtId="2" fontId="92" fillId="0" borderId="161" xfId="0" applyNumberFormat="1" applyFont="1" applyBorder="1" applyAlignment="1">
      <alignment horizontal="center"/>
    </xf>
    <xf numFmtId="2" fontId="92" fillId="0" borderId="218" xfId="0" applyNumberFormat="1" applyFont="1" applyBorder="1" applyAlignment="1">
      <alignment horizontal="center"/>
    </xf>
    <xf numFmtId="2" fontId="17" fillId="0" borderId="142" xfId="0" applyNumberFormat="1" applyFont="1" applyBorder="1" applyAlignment="1">
      <alignment horizontal="center"/>
    </xf>
    <xf numFmtId="2" fontId="17" fillId="0" borderId="126" xfId="0" applyNumberFormat="1" applyFont="1" applyBorder="1" applyAlignment="1">
      <alignment horizontal="center"/>
    </xf>
    <xf numFmtId="2" fontId="17" fillId="0" borderId="219" xfId="0" applyNumberFormat="1" applyFont="1" applyBorder="1" applyAlignment="1">
      <alignment horizontal="center"/>
    </xf>
    <xf numFmtId="2" fontId="17" fillId="0" borderId="220" xfId="0" applyNumberFormat="1" applyFont="1" applyBorder="1" applyAlignment="1">
      <alignment horizontal="center"/>
    </xf>
    <xf numFmtId="2" fontId="92" fillId="0" borderId="126" xfId="0" applyNumberFormat="1" applyFont="1" applyBorder="1" applyAlignment="1">
      <alignment horizontal="center"/>
    </xf>
    <xf numFmtId="2" fontId="92" fillId="0" borderId="195" xfId="0" applyNumberFormat="1" applyFont="1" applyBorder="1" applyAlignment="1">
      <alignment horizontal="center"/>
    </xf>
    <xf numFmtId="2" fontId="92" fillId="0" borderId="159" xfId="0" applyNumberFormat="1" applyFont="1" applyBorder="1" applyAlignment="1">
      <alignment horizontal="center"/>
    </xf>
    <xf numFmtId="2" fontId="16" fillId="0" borderId="168" xfId="0" applyNumberFormat="1" applyFont="1" applyBorder="1" applyAlignment="1">
      <alignment horizontal="center"/>
    </xf>
    <xf numFmtId="2" fontId="94" fillId="0" borderId="142" xfId="0" applyNumberFormat="1" applyFont="1" applyBorder="1" applyAlignment="1">
      <alignment horizontal="center"/>
    </xf>
    <xf numFmtId="2" fontId="94" fillId="0" borderId="75" xfId="0" applyNumberFormat="1" applyFont="1" applyBorder="1" applyAlignment="1">
      <alignment horizontal="center"/>
    </xf>
    <xf numFmtId="2" fontId="94" fillId="0" borderId="126" xfId="0" applyNumberFormat="1" applyFont="1" applyBorder="1" applyAlignment="1">
      <alignment horizontal="center"/>
    </xf>
    <xf numFmtId="0" fontId="17" fillId="0" borderId="138" xfId="0" applyFont="1" applyBorder="1" applyAlignment="1">
      <alignment horizontal="right"/>
    </xf>
    <xf numFmtId="2" fontId="17" fillId="0" borderId="195" xfId="0" applyNumberFormat="1" applyFont="1" applyBorder="1" applyAlignment="1">
      <alignment horizontal="center"/>
    </xf>
    <xf numFmtId="2" fontId="17" fillId="0" borderId="159" xfId="0" applyNumberFormat="1" applyFont="1" applyBorder="1" applyAlignment="1">
      <alignment horizontal="center"/>
    </xf>
    <xf numFmtId="2" fontId="17" fillId="0" borderId="168" xfId="0" applyNumberFormat="1" applyFont="1" applyBorder="1" applyAlignment="1">
      <alignment horizontal="center"/>
    </xf>
    <xf numFmtId="0" fontId="17" fillId="0" borderId="74" xfId="0" applyFont="1" applyBorder="1" applyAlignment="1">
      <alignment horizontal="right"/>
    </xf>
    <xf numFmtId="0" fontId="17" fillId="0" borderId="5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2" fontId="17" fillId="0" borderId="192" xfId="0" applyNumberFormat="1" applyFont="1" applyBorder="1" applyAlignment="1">
      <alignment horizontal="center"/>
    </xf>
    <xf numFmtId="2" fontId="17" fillId="0" borderId="178" xfId="0" applyNumberFormat="1" applyFont="1" applyBorder="1" applyAlignment="1">
      <alignment horizontal="center"/>
    </xf>
    <xf numFmtId="2" fontId="92" fillId="0" borderId="170" xfId="0" applyNumberFormat="1" applyFont="1" applyBorder="1" applyAlignment="1">
      <alignment horizontal="center"/>
    </xf>
    <xf numFmtId="0" fontId="92" fillId="0" borderId="221" xfId="0" applyFont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Percent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_07_2016\2012_2016%20&#1075;&#1086;&#1076;\&#1052;&#1086;&#1080;%20&#1076;&#1086;&#1082;&#1091;&#1084;&#1077;&#1085;&#1090;&#1099;_2012_2016\&#1052;&#1086;&#1080;%20&#1076;&#1086;&#1082;&#1091;&#1084;&#1077;&#1085;&#1090;&#1099;_&#1058;&#1057;&#1046;\&#1054;&#1092;&#1080;&#1089;_&#1050;&#1080;&#1088;&#1086;&#1074;&#1089;&#1082;&#1086;&#1077;_2\&#1054;&#1090;&#1095;&#1077;&#1090;&#1099;\&#1069;&#1083;_&#1101;&#1085;&#1077;&#1088;&#1075;&#1080;&#1103;\&#1040;&#1082;&#1090;_&#1088;&#1072;&#1089;&#1095;&#1077;&#1090;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_&#1056;&#1045;&#1045;&#1057;&#1058;&#1056;%20&#1063;&#1051;%20&#1058;&#1057;&#1046;_&#1044;&#1045;&#1050;%202018_&#1087;&#1086;&#1076;%20&#1054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Roaming\Microsoft\Excel\1_&#1056;&#1045;&#1045;&#1057;&#1058;&#1056;%20&#1063;&#1051;%20&#1058;&#1057;&#1046;_&#1044;&#1045;&#1050;%202018_&#1087;&#1086;&#1076;%20&#1054;&#1057;%20(version%2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4_07_2016\2012_2016%20&#1075;&#1086;&#1076;\&#1052;&#1086;&#1080;%20&#1076;&#1086;&#1082;&#1091;&#1084;&#1077;&#1085;&#1090;&#1099;_2012_2018\&#1054;&#1092;&#1080;&#1089;_&#1050;&#1080;&#1088;&#1086;&#1074;&#1089;&#1082;&#1086;&#1077;_2\&#1054;&#1090;&#1095;&#1077;&#1090;&#1099;\&#1069;&#1083;_&#1101;&#1085;&#1077;&#1088;&#1075;&#1080;&#1103;\&#1040;&#1082;&#1090;_&#1088;&#1072;&#1089;&#1095;&#1077;&#1090;_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7;&#1072;&#1090;&#1088;&#1072;&#1090;&#1099;%20&#1087;&#1086;%2051%20&#1089;&#1095;&#1077;&#1090;&#1091;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4_07_2016\2012_2016%20&#1075;&#1086;&#1076;\&#1052;&#1086;&#1080;%20&#1076;&#1086;&#1082;&#1091;&#1084;&#1077;&#1085;&#1090;&#1099;_2012_2018\&#1055;&#1088;&#1072;&#1074;&#1083;&#1077;&#1085;&#1080;&#1077;%202011_2017\&#1054;&#1057;\&#1054;&#1057;_2019\1_&#1048;&#1058;&#1054;&#1043;&#1048;_&#1044;&#1045;&#1050;%202018_&#1087;&#1086;&#1076;%20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Минская_25"/>
      <sheetName val="Нагорная_143"/>
      <sheetName val="Кромская_4"/>
      <sheetName val="Ставроп_202"/>
      <sheetName val="Ставроп_204"/>
      <sheetName val="Показания_ОПУ_в_квит"/>
      <sheetName val="СВОД_в_квитанцию"/>
      <sheetName val="Анализ_объемов"/>
      <sheetName val="Из_архива_2011_2014"/>
    </sheetNames>
    <sheetDataSet>
      <sheetData sheetId="8">
        <row r="27">
          <cell r="F27">
            <v>83046.05976785907</v>
          </cell>
          <cell r="H27">
            <v>395183.46299437666</v>
          </cell>
        </row>
        <row r="28">
          <cell r="F28">
            <v>2.01</v>
          </cell>
          <cell r="H28">
            <v>4.08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МИНСКАЯ"/>
      <sheetName val="НАГОРНАЯ"/>
      <sheetName val="КРОМСКАЯ"/>
      <sheetName val="С_204"/>
      <sheetName val="С_202"/>
      <sheetName val="СВОД "/>
      <sheetName val="МУСОР"/>
      <sheetName val="смена собств"/>
      <sheetName val="Лист1"/>
    </sheetNames>
    <sheetDataSet>
      <sheetData sheetId="6">
        <row r="7">
          <cell r="D7">
            <v>17835.599999</v>
          </cell>
          <cell r="E7">
            <v>3618.5999999399996</v>
          </cell>
        </row>
        <row r="8">
          <cell r="D8">
            <v>20878.29999869</v>
          </cell>
          <cell r="E8">
            <v>4619.799999920001</v>
          </cell>
        </row>
        <row r="9">
          <cell r="D9">
            <v>14850.899999229998</v>
          </cell>
          <cell r="E9">
            <v>1609.2999999400001</v>
          </cell>
        </row>
        <row r="10">
          <cell r="D10">
            <v>17690.79999905</v>
          </cell>
          <cell r="E10">
            <v>2728.89999994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МИНСКАЯ"/>
      <sheetName val="НАГОРНАЯ"/>
      <sheetName val="КРОМСКАЯ"/>
      <sheetName val="С_204"/>
      <sheetName val="С_202"/>
      <sheetName val="СВОД "/>
      <sheetName val="МУСОР"/>
      <sheetName val="смена собств"/>
      <sheetName val="Лист1"/>
    </sheetNames>
    <sheetDataSet>
      <sheetData sheetId="6">
        <row r="6">
          <cell r="D6">
            <v>19482.09999887</v>
          </cell>
          <cell r="E6">
            <v>4291.249999919999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под оплату"/>
      <sheetName val="Сводная"/>
      <sheetName val="Минская_25"/>
      <sheetName val="Нагорная_143"/>
      <sheetName val="Кромская_4"/>
      <sheetName val="Ставроп_202"/>
      <sheetName val="Ставроп_204"/>
      <sheetName val="Показания ОПУ в квит"/>
      <sheetName val="Анализ объемов"/>
      <sheetName val="Из архива_2011_2014"/>
    </sheetNames>
    <sheetDataSet>
      <sheetData sheetId="8">
        <row r="29">
          <cell r="J29">
            <v>59289.69918179133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_2"/>
      <sheetName val="правлен"/>
      <sheetName val="Лист3"/>
    </sheetNames>
    <sheetDataSet>
      <sheetData sheetId="2">
        <row r="27">
          <cell r="C27">
            <v>46650</v>
          </cell>
        </row>
        <row r="28">
          <cell r="C28">
            <v>6400</v>
          </cell>
        </row>
        <row r="29">
          <cell r="C29">
            <v>6640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МИНСКАЯ"/>
      <sheetName val="НАГОРНАЯ"/>
      <sheetName val="КРОМСКАЯ"/>
      <sheetName val="С_204"/>
      <sheetName val="С_202"/>
      <sheetName val="СВОД "/>
      <sheetName val="МУСОР"/>
      <sheetName val="смена собств"/>
      <sheetName val="Лист1"/>
    </sheetNames>
    <sheetDataSet>
      <sheetData sheetId="1">
        <row r="434">
          <cell r="F434">
            <v>19466.699998869997</v>
          </cell>
        </row>
        <row r="475">
          <cell r="F475">
            <v>4298.299999929999</v>
          </cell>
        </row>
      </sheetData>
      <sheetData sheetId="2">
        <row r="429">
          <cell r="F429">
            <v>17835.599999</v>
          </cell>
        </row>
        <row r="461">
          <cell r="F461">
            <v>3635.39999994</v>
          </cell>
        </row>
      </sheetData>
      <sheetData sheetId="3">
        <row r="466">
          <cell r="F466">
            <v>20878.2999987</v>
          </cell>
        </row>
        <row r="520">
          <cell r="F520">
            <v>4619.799999920001</v>
          </cell>
        </row>
      </sheetData>
      <sheetData sheetId="4">
        <row r="324">
          <cell r="F324">
            <v>14850.899999229998</v>
          </cell>
        </row>
        <row r="349">
          <cell r="F349">
            <v>1609.2999999400001</v>
          </cell>
        </row>
      </sheetData>
      <sheetData sheetId="5">
        <row r="411">
          <cell r="F411">
            <v>17690.79999905</v>
          </cell>
        </row>
        <row r="439">
          <cell r="F439">
            <v>2730.6999999399995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N15" sqref="N15"/>
    </sheetView>
  </sheetViews>
  <sheetFormatPr defaultColWidth="8.796875" defaultRowHeight="14.25"/>
  <cols>
    <col min="1" max="8" width="10.69921875" style="1" customWidth="1"/>
    <col min="9" max="9" width="9" style="1" customWidth="1"/>
    <col min="10" max="16384" width="9" style="1" customWidth="1"/>
  </cols>
  <sheetData>
    <row r="1" ht="20.25">
      <c r="H1" s="2" t="s">
        <v>0</v>
      </c>
    </row>
    <row r="8" spans="1:8" ht="45">
      <c r="A8" s="798" t="s">
        <v>336</v>
      </c>
      <c r="B8" s="798"/>
      <c r="C8" s="798"/>
      <c r="D8" s="798"/>
      <c r="E8" s="798"/>
      <c r="F8" s="798"/>
      <c r="G8" s="798"/>
      <c r="H8" s="798"/>
    </row>
    <row r="9" spans="1:8" ht="20.25">
      <c r="A9" s="799" t="s">
        <v>1</v>
      </c>
      <c r="B9" s="799"/>
      <c r="C9" s="799"/>
      <c r="D9" s="799"/>
      <c r="E9" s="799"/>
      <c r="F9" s="799"/>
      <c r="G9" s="799"/>
      <c r="H9" s="799"/>
    </row>
    <row r="10" spans="1:8" ht="20.25">
      <c r="A10" s="799" t="s">
        <v>2</v>
      </c>
      <c r="B10" s="799"/>
      <c r="C10" s="799"/>
      <c r="D10" s="799"/>
      <c r="E10" s="799"/>
      <c r="F10" s="799"/>
      <c r="G10" s="799"/>
      <c r="H10" s="799"/>
    </row>
    <row r="13" spans="1:8" ht="45">
      <c r="A13" s="798" t="s">
        <v>353</v>
      </c>
      <c r="B13" s="798"/>
      <c r="C13" s="798"/>
      <c r="D13" s="798"/>
      <c r="E13" s="798"/>
      <c r="F13" s="798"/>
      <c r="G13" s="798"/>
      <c r="H13" s="798"/>
    </row>
    <row r="14" spans="1:8" ht="34.5" customHeight="1">
      <c r="A14" s="800"/>
      <c r="B14" s="800"/>
      <c r="C14" s="800"/>
      <c r="D14" s="800"/>
      <c r="E14" s="800"/>
      <c r="F14" s="800"/>
      <c r="G14" s="800"/>
      <c r="H14" s="800"/>
    </row>
    <row r="23" ht="18.75">
      <c r="D23" s="3" t="s">
        <v>3</v>
      </c>
    </row>
    <row r="26" spans="5:7" ht="18.75">
      <c r="E26" s="1" t="s">
        <v>350</v>
      </c>
      <c r="F26" s="219"/>
      <c r="G26" s="1" t="s">
        <v>354</v>
      </c>
    </row>
    <row r="37" spans="1:8" ht="15.75">
      <c r="A37" s="801" t="s">
        <v>4</v>
      </c>
      <c r="B37" s="801"/>
      <c r="C37" s="801"/>
      <c r="D37" s="801"/>
      <c r="E37" s="801"/>
      <c r="F37" s="801"/>
      <c r="G37" s="801"/>
      <c r="H37" s="801"/>
    </row>
  </sheetData>
  <sheetProtection/>
  <mergeCells count="6">
    <mergeCell ref="A8:H8"/>
    <mergeCell ref="A9:H9"/>
    <mergeCell ref="A10:H10"/>
    <mergeCell ref="A13:H13"/>
    <mergeCell ref="A14:H14"/>
    <mergeCell ref="A37:H37"/>
  </mergeCells>
  <printOptions/>
  <pageMargins left="0.49645669291338607" right="0.448031496062992" top="1.083070866141733" bottom="1.083070866141733" header="0.78740157480315" footer="0.78740157480315"/>
  <pageSetup fitToHeight="0" fitToWidth="0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9">
      <selection activeCell="K29" sqref="K29"/>
    </sheetView>
  </sheetViews>
  <sheetFormatPr defaultColWidth="10.09765625" defaultRowHeight="14.25"/>
  <cols>
    <col min="1" max="1" width="19" style="776" customWidth="1"/>
    <col min="2" max="2" width="22.5" style="752" customWidth="1"/>
    <col min="3" max="3" width="12.59765625" style="749" customWidth="1"/>
    <col min="4" max="4" width="10" style="750" customWidth="1"/>
    <col min="5" max="5" width="20.3984375" style="750" customWidth="1"/>
    <col min="6" max="6" width="22.5" style="750" customWidth="1"/>
    <col min="7" max="8" width="11.5" style="750" customWidth="1"/>
    <col min="9" max="9" width="12" style="751" bestFit="1" customWidth="1"/>
    <col min="10" max="16384" width="10.09765625" style="752" customWidth="1"/>
  </cols>
  <sheetData>
    <row r="1" spans="1:2" ht="15" customHeight="1" thickBot="1">
      <c r="A1" s="747"/>
      <c r="B1" s="748" t="s">
        <v>446</v>
      </c>
    </row>
    <row r="2" spans="1:8" ht="15" customHeight="1" thickBot="1">
      <c r="A2" s="753" t="s">
        <v>156</v>
      </c>
      <c r="B2" s="754" t="s">
        <v>447</v>
      </c>
      <c r="C2" s="755" t="s">
        <v>448</v>
      </c>
      <c r="D2" s="756"/>
      <c r="E2" s="757" t="s">
        <v>156</v>
      </c>
      <c r="F2" s="754" t="s">
        <v>447</v>
      </c>
      <c r="G2" s="755" t="s">
        <v>448</v>
      </c>
      <c r="H2" s="756"/>
    </row>
    <row r="3" spans="1:8" ht="12.75" customHeight="1">
      <c r="A3" s="758" t="s">
        <v>449</v>
      </c>
      <c r="B3" s="759" t="s">
        <v>450</v>
      </c>
      <c r="C3" s="760">
        <v>28319551.9</v>
      </c>
      <c r="D3" s="761"/>
      <c r="E3" s="965" t="s">
        <v>451</v>
      </c>
      <c r="F3" s="759" t="s">
        <v>452</v>
      </c>
      <c r="G3" s="760">
        <v>3498</v>
      </c>
      <c r="H3" s="968">
        <f>SUM(G3:G5)</f>
        <v>15036</v>
      </c>
    </row>
    <row r="4" spans="1:8" ht="12.75" customHeight="1">
      <c r="A4" s="762" t="s">
        <v>453</v>
      </c>
      <c r="B4" s="763" t="s">
        <v>454</v>
      </c>
      <c r="C4" s="764">
        <v>7218528.65</v>
      </c>
      <c r="D4" s="765"/>
      <c r="E4" s="966"/>
      <c r="F4" s="763" t="s">
        <v>455</v>
      </c>
      <c r="G4" s="764">
        <v>5038</v>
      </c>
      <c r="H4" s="969"/>
    </row>
    <row r="5" spans="1:8" ht="12.75" customHeight="1">
      <c r="A5" s="762" t="s">
        <v>456</v>
      </c>
      <c r="B5" s="763" t="s">
        <v>457</v>
      </c>
      <c r="C5" s="764">
        <v>755494.67</v>
      </c>
      <c r="D5" s="765"/>
      <c r="E5" s="967"/>
      <c r="F5" s="763" t="s">
        <v>458</v>
      </c>
      <c r="G5" s="764">
        <v>6500</v>
      </c>
      <c r="H5" s="970"/>
    </row>
    <row r="6" spans="1:8" ht="12.75" customHeight="1">
      <c r="A6" s="762" t="s">
        <v>459</v>
      </c>
      <c r="B6" s="763" t="s">
        <v>460</v>
      </c>
      <c r="C6" s="764">
        <v>1238465</v>
      </c>
      <c r="D6" s="765"/>
      <c r="E6" s="971" t="s">
        <v>461</v>
      </c>
      <c r="F6" s="763" t="s">
        <v>462</v>
      </c>
      <c r="G6" s="764">
        <v>9108</v>
      </c>
      <c r="H6" s="973">
        <f>SUM(G6:G9)</f>
        <v>87736</v>
      </c>
    </row>
    <row r="7" spans="1:8" ht="12.75" customHeight="1">
      <c r="A7" s="762" t="s">
        <v>165</v>
      </c>
      <c r="B7" s="763" t="s">
        <v>463</v>
      </c>
      <c r="C7" s="764">
        <v>314213.5</v>
      </c>
      <c r="D7" s="766"/>
      <c r="E7" s="972"/>
      <c r="F7" s="763" t="s">
        <v>464</v>
      </c>
      <c r="G7" s="764">
        <v>2100</v>
      </c>
      <c r="H7" s="969"/>
    </row>
    <row r="8" spans="1:8" ht="12.75" customHeight="1">
      <c r="A8" s="974" t="s">
        <v>465</v>
      </c>
      <c r="B8" s="763" t="s">
        <v>466</v>
      </c>
      <c r="C8" s="764">
        <v>2024392.62</v>
      </c>
      <c r="D8" s="976">
        <f>SUM(C8:C10)</f>
        <v>2135576.68</v>
      </c>
      <c r="E8" s="767" t="s">
        <v>467</v>
      </c>
      <c r="F8" s="763" t="s">
        <v>468</v>
      </c>
      <c r="G8" s="764">
        <f>64000</f>
        <v>64000</v>
      </c>
      <c r="H8" s="969"/>
    </row>
    <row r="9" spans="1:8" ht="12.75" customHeight="1">
      <c r="A9" s="975"/>
      <c r="B9" s="763" t="s">
        <v>469</v>
      </c>
      <c r="C9" s="764">
        <v>105099.06</v>
      </c>
      <c r="D9" s="976"/>
      <c r="E9" s="767" t="s">
        <v>470</v>
      </c>
      <c r="F9" s="763" t="s">
        <v>471</v>
      </c>
      <c r="G9" s="764">
        <v>12528</v>
      </c>
      <c r="H9" s="970"/>
    </row>
    <row r="10" spans="1:8" ht="12.75" customHeight="1">
      <c r="A10" s="762" t="s">
        <v>472</v>
      </c>
      <c r="B10" s="763" t="s">
        <v>473</v>
      </c>
      <c r="C10" s="764">
        <v>6085</v>
      </c>
      <c r="D10" s="976"/>
      <c r="E10" s="767" t="s">
        <v>474</v>
      </c>
      <c r="F10" s="763" t="s">
        <v>475</v>
      </c>
      <c r="G10" s="764">
        <v>57990</v>
      </c>
      <c r="H10" s="765"/>
    </row>
    <row r="11" spans="1:8" ht="12.75" customHeight="1">
      <c r="A11" s="977" t="s">
        <v>476</v>
      </c>
      <c r="B11" s="763" t="s">
        <v>477</v>
      </c>
      <c r="C11" s="764">
        <f>770000+400000</f>
        <v>1170000</v>
      </c>
      <c r="D11" s="978">
        <f>C11+C12+C13</f>
        <v>6712612.85</v>
      </c>
      <c r="E11" s="767" t="s">
        <v>478</v>
      </c>
      <c r="F11" s="763" t="s">
        <v>479</v>
      </c>
      <c r="G11" s="764">
        <v>10290</v>
      </c>
      <c r="H11" s="973">
        <f>SUM(G11:G12)</f>
        <v>30290</v>
      </c>
    </row>
    <row r="12" spans="1:8" ht="12.75" customHeight="1">
      <c r="A12" s="977"/>
      <c r="B12" s="763" t="s">
        <v>480</v>
      </c>
      <c r="C12" s="764">
        <v>5409536.85</v>
      </c>
      <c r="D12" s="979"/>
      <c r="E12" s="767" t="s">
        <v>478</v>
      </c>
      <c r="F12" s="763" t="s">
        <v>481</v>
      </c>
      <c r="G12" s="764">
        <v>20000</v>
      </c>
      <c r="H12" s="970"/>
    </row>
    <row r="13" spans="1:8" ht="12.75" customHeight="1">
      <c r="A13" s="977"/>
      <c r="B13" s="763" t="s">
        <v>482</v>
      </c>
      <c r="C13" s="764">
        <v>133076</v>
      </c>
      <c r="D13" s="980"/>
      <c r="E13" s="981" t="s">
        <v>483</v>
      </c>
      <c r="F13" s="763" t="s">
        <v>484</v>
      </c>
      <c r="G13" s="764">
        <v>6156</v>
      </c>
      <c r="H13" s="973">
        <f>SUM(G13:G14)</f>
        <v>18156</v>
      </c>
    </row>
    <row r="14" spans="1:8" ht="12.75" customHeight="1">
      <c r="A14" s="974" t="s">
        <v>485</v>
      </c>
      <c r="B14" s="763" t="s">
        <v>486</v>
      </c>
      <c r="C14" s="764">
        <v>479400</v>
      </c>
      <c r="D14" s="973">
        <f>SUM(C14:C15)</f>
        <v>493758.25</v>
      </c>
      <c r="E14" s="967"/>
      <c r="F14" s="763" t="s">
        <v>487</v>
      </c>
      <c r="G14" s="764">
        <v>12000</v>
      </c>
      <c r="H14" s="970"/>
    </row>
    <row r="15" spans="1:8" ht="12.75" customHeight="1">
      <c r="A15" s="975"/>
      <c r="B15" s="763" t="s">
        <v>488</v>
      </c>
      <c r="C15" s="764">
        <v>14358.25</v>
      </c>
      <c r="D15" s="970"/>
      <c r="E15" s="981" t="s">
        <v>489</v>
      </c>
      <c r="F15" s="763" t="s">
        <v>490</v>
      </c>
      <c r="G15" s="764">
        <v>7838.25</v>
      </c>
      <c r="H15" s="973">
        <f>SUM(G15:G16)</f>
        <v>17533.31</v>
      </c>
    </row>
    <row r="16" spans="1:8" ht="12.75" customHeight="1">
      <c r="A16" s="762" t="s">
        <v>491</v>
      </c>
      <c r="B16" s="763" t="s">
        <v>492</v>
      </c>
      <c r="C16" s="764">
        <f>100000+800000</f>
        <v>900000</v>
      </c>
      <c r="D16" s="765"/>
      <c r="E16" s="967"/>
      <c r="F16" s="763" t="s">
        <v>493</v>
      </c>
      <c r="G16" s="764">
        <f>9676.77+18.29</f>
        <v>9695.060000000001</v>
      </c>
      <c r="H16" s="970"/>
    </row>
    <row r="17" spans="1:8" ht="12.75" customHeight="1">
      <c r="A17" s="974" t="s">
        <v>494</v>
      </c>
      <c r="B17" s="763" t="s">
        <v>495</v>
      </c>
      <c r="C17" s="764">
        <v>6160.78</v>
      </c>
      <c r="D17" s="765"/>
      <c r="E17" s="981" t="s">
        <v>496</v>
      </c>
      <c r="F17" s="763" t="s">
        <v>497</v>
      </c>
      <c r="G17" s="764">
        <v>660758.29</v>
      </c>
      <c r="H17" s="973">
        <f>SUM(G17:G18)</f>
        <v>681800.36</v>
      </c>
    </row>
    <row r="18" spans="1:8" ht="12.75" customHeight="1">
      <c r="A18" s="982"/>
      <c r="B18" s="763" t="s">
        <v>498</v>
      </c>
      <c r="C18" s="764">
        <v>24000</v>
      </c>
      <c r="D18" s="765"/>
      <c r="E18" s="967"/>
      <c r="F18" s="763" t="s">
        <v>238</v>
      </c>
      <c r="G18" s="764">
        <v>21042.07</v>
      </c>
      <c r="H18" s="970"/>
    </row>
    <row r="19" spans="1:8" ht="12.75" customHeight="1">
      <c r="A19" s="975"/>
      <c r="B19" s="763" t="s">
        <v>499</v>
      </c>
      <c r="C19" s="764">
        <v>13670</v>
      </c>
      <c r="D19" s="765"/>
      <c r="E19" s="983" t="s">
        <v>500</v>
      </c>
      <c r="F19" s="763" t="s">
        <v>501</v>
      </c>
      <c r="G19" s="764">
        <v>174715.79</v>
      </c>
      <c r="H19" s="973">
        <f>SUM(G19:G22)</f>
        <v>411315.79000000004</v>
      </c>
    </row>
    <row r="20" spans="1:8" ht="12.75" customHeight="1">
      <c r="A20" s="974" t="s">
        <v>502</v>
      </c>
      <c r="B20" s="763" t="s">
        <v>503</v>
      </c>
      <c r="C20" s="764">
        <v>7740</v>
      </c>
      <c r="D20" s="765"/>
      <c r="E20" s="984"/>
      <c r="F20" s="763" t="s">
        <v>504</v>
      </c>
      <c r="G20" s="764">
        <v>130000</v>
      </c>
      <c r="H20" s="969"/>
    </row>
    <row r="21" spans="1:8" ht="12.75" customHeight="1">
      <c r="A21" s="975"/>
      <c r="B21" s="763" t="s">
        <v>505</v>
      </c>
      <c r="C21" s="764">
        <v>71160</v>
      </c>
      <c r="D21" s="765"/>
      <c r="E21" s="981" t="s">
        <v>506</v>
      </c>
      <c r="F21" s="763" t="s">
        <v>507</v>
      </c>
      <c r="G21" s="764">
        <v>100000</v>
      </c>
      <c r="H21" s="969"/>
    </row>
    <row r="22" spans="1:8" ht="12.75" customHeight="1">
      <c r="A22" s="762" t="s">
        <v>508</v>
      </c>
      <c r="B22" s="763" t="s">
        <v>509</v>
      </c>
      <c r="C22" s="764">
        <v>56832.8</v>
      </c>
      <c r="D22" s="765"/>
      <c r="E22" s="967"/>
      <c r="F22" s="763" t="s">
        <v>510</v>
      </c>
      <c r="G22" s="764">
        <v>6600</v>
      </c>
      <c r="H22" s="970"/>
    </row>
    <row r="23" spans="1:8" ht="12.75" customHeight="1">
      <c r="A23" s="777" t="s">
        <v>574</v>
      </c>
      <c r="B23" s="763" t="s">
        <v>511</v>
      </c>
      <c r="C23" s="764">
        <f>209832+70000</f>
        <v>279832</v>
      </c>
      <c r="D23" s="765"/>
      <c r="E23" s="767" t="s">
        <v>512</v>
      </c>
      <c r="F23" s="763" t="s">
        <v>513</v>
      </c>
      <c r="G23" s="764">
        <v>40582.55</v>
      </c>
      <c r="H23" s="768">
        <f>SUM(G23:G39)</f>
        <v>478279.53</v>
      </c>
    </row>
    <row r="24" spans="1:8" ht="12.75" customHeight="1">
      <c r="A24" s="974" t="s">
        <v>514</v>
      </c>
      <c r="B24" s="763" t="s">
        <v>515</v>
      </c>
      <c r="C24" s="764">
        <v>19317.12</v>
      </c>
      <c r="D24" s="973">
        <f>SUM(C24:C25)</f>
        <v>41853.759999999995</v>
      </c>
      <c r="E24" s="767" t="s">
        <v>516</v>
      </c>
      <c r="F24" s="763" t="s">
        <v>517</v>
      </c>
      <c r="G24" s="764">
        <v>8470</v>
      </c>
      <c r="H24" s="769"/>
    </row>
    <row r="25" spans="1:8" ht="12.75" customHeight="1">
      <c r="A25" s="975"/>
      <c r="B25" s="763" t="s">
        <v>518</v>
      </c>
      <c r="C25" s="764">
        <v>22536.64</v>
      </c>
      <c r="D25" s="970"/>
      <c r="E25" s="767" t="s">
        <v>519</v>
      </c>
      <c r="F25" s="763" t="s">
        <v>520</v>
      </c>
      <c r="G25" s="764">
        <v>12557.1</v>
      </c>
      <c r="H25" s="769"/>
    </row>
    <row r="26" spans="1:8" ht="12.75" customHeight="1">
      <c r="A26" s="762" t="s">
        <v>521</v>
      </c>
      <c r="B26" s="763" t="s">
        <v>522</v>
      </c>
      <c r="C26" s="764">
        <v>1700</v>
      </c>
      <c r="D26" s="765"/>
      <c r="E26" s="767" t="s">
        <v>523</v>
      </c>
      <c r="F26" s="763" t="s">
        <v>524</v>
      </c>
      <c r="G26" s="764">
        <v>91269.52</v>
      </c>
      <c r="H26" s="769"/>
    </row>
    <row r="27" spans="1:8" ht="12.75" customHeight="1">
      <c r="A27" s="974" t="s">
        <v>525</v>
      </c>
      <c r="B27" s="763" t="s">
        <v>526</v>
      </c>
      <c r="C27" s="764">
        <v>46650</v>
      </c>
      <c r="D27" s="973">
        <f>SUM(C27:C29)</f>
        <v>59690</v>
      </c>
      <c r="E27" s="767" t="s">
        <v>527</v>
      </c>
      <c r="F27" s="763" t="s">
        <v>528</v>
      </c>
      <c r="G27" s="764">
        <v>40861</v>
      </c>
      <c r="H27" s="769"/>
    </row>
    <row r="28" spans="1:8" ht="12.75" customHeight="1">
      <c r="A28" s="982"/>
      <c r="B28" s="763" t="s">
        <v>529</v>
      </c>
      <c r="C28" s="764">
        <v>6400</v>
      </c>
      <c r="D28" s="969"/>
      <c r="E28" s="767" t="s">
        <v>530</v>
      </c>
      <c r="F28" s="763" t="s">
        <v>531</v>
      </c>
      <c r="G28" s="764">
        <v>608</v>
      </c>
      <c r="H28" s="985">
        <f>SUM(G28:G33)</f>
        <v>29299.75</v>
      </c>
    </row>
    <row r="29" spans="1:8" ht="12.75" customHeight="1">
      <c r="A29" s="975"/>
      <c r="B29" s="763" t="s">
        <v>532</v>
      </c>
      <c r="C29" s="764">
        <v>6640</v>
      </c>
      <c r="D29" s="970"/>
      <c r="E29" s="767" t="s">
        <v>533</v>
      </c>
      <c r="F29" s="763" t="s">
        <v>534</v>
      </c>
      <c r="G29" s="764">
        <v>7230</v>
      </c>
      <c r="H29" s="985"/>
    </row>
    <row r="30" spans="1:8" ht="12.75" customHeight="1">
      <c r="A30" s="974" t="s">
        <v>213</v>
      </c>
      <c r="B30" s="763" t="s">
        <v>535</v>
      </c>
      <c r="C30" s="764">
        <v>64500</v>
      </c>
      <c r="D30" s="973">
        <f>SUM(C30:C31)</f>
        <v>470334</v>
      </c>
      <c r="E30" s="767" t="s">
        <v>536</v>
      </c>
      <c r="F30" s="763" t="s">
        <v>537</v>
      </c>
      <c r="G30" s="764">
        <v>13383</v>
      </c>
      <c r="H30" s="985"/>
    </row>
    <row r="31" spans="1:8" ht="12.75" customHeight="1">
      <c r="A31" s="975"/>
      <c r="B31" s="763" t="s">
        <v>538</v>
      </c>
      <c r="C31" s="764">
        <v>405834</v>
      </c>
      <c r="D31" s="970"/>
      <c r="E31" s="767" t="s">
        <v>539</v>
      </c>
      <c r="F31" s="763" t="s">
        <v>540</v>
      </c>
      <c r="G31" s="764">
        <v>1400</v>
      </c>
      <c r="H31" s="985"/>
    </row>
    <row r="32" spans="1:8" ht="12.75" customHeight="1">
      <c r="A32" s="762" t="s">
        <v>541</v>
      </c>
      <c r="B32" s="763" t="s">
        <v>535</v>
      </c>
      <c r="C32" s="764">
        <v>917810</v>
      </c>
      <c r="D32" s="765"/>
      <c r="E32" s="767" t="s">
        <v>542</v>
      </c>
      <c r="F32" s="763" t="s">
        <v>543</v>
      </c>
      <c r="G32" s="764">
        <v>3210</v>
      </c>
      <c r="H32" s="985"/>
    </row>
    <row r="33" spans="1:8" ht="12.75" customHeight="1">
      <c r="A33" s="762" t="s">
        <v>544</v>
      </c>
      <c r="B33" s="763" t="s">
        <v>545</v>
      </c>
      <c r="C33" s="764">
        <v>62340.3</v>
      </c>
      <c r="D33" s="765"/>
      <c r="E33" s="767" t="s">
        <v>546</v>
      </c>
      <c r="F33" s="763" t="s">
        <v>547</v>
      </c>
      <c r="G33" s="764">
        <v>3468.75</v>
      </c>
      <c r="H33" s="985"/>
    </row>
    <row r="34" spans="1:8" ht="12.75" customHeight="1">
      <c r="A34" s="974" t="s">
        <v>548</v>
      </c>
      <c r="B34" s="763" t="s">
        <v>549</v>
      </c>
      <c r="C34" s="764">
        <v>20876</v>
      </c>
      <c r="D34" s="985">
        <f>SUM(C34:C35)</f>
        <v>545676</v>
      </c>
      <c r="E34" s="767" t="s">
        <v>200</v>
      </c>
      <c r="F34" s="763" t="s">
        <v>550</v>
      </c>
      <c r="G34" s="764">
        <v>15800</v>
      </c>
      <c r="H34" s="769"/>
    </row>
    <row r="35" spans="1:8" ht="12.75" customHeight="1">
      <c r="A35" s="975"/>
      <c r="B35" s="763" t="s">
        <v>551</v>
      </c>
      <c r="C35" s="764">
        <v>524800</v>
      </c>
      <c r="D35" s="985"/>
      <c r="E35" s="767" t="s">
        <v>552</v>
      </c>
      <c r="F35" s="763" t="s">
        <v>553</v>
      </c>
      <c r="G35" s="764">
        <v>17034.89</v>
      </c>
      <c r="H35" s="969">
        <f>SUM(G35:G38)</f>
        <v>70909.1</v>
      </c>
    </row>
    <row r="36" spans="1:9" ht="12.75" customHeight="1">
      <c r="A36" s="974" t="s">
        <v>554</v>
      </c>
      <c r="B36" s="763" t="s">
        <v>555</v>
      </c>
      <c r="C36" s="764">
        <v>276800</v>
      </c>
      <c r="D36" s="985">
        <f>SUM(C36:C38)</f>
        <v>352252.43</v>
      </c>
      <c r="E36" s="767" t="s">
        <v>556</v>
      </c>
      <c r="F36" s="763" t="s">
        <v>557</v>
      </c>
      <c r="G36" s="764">
        <v>11060.69</v>
      </c>
      <c r="H36" s="969"/>
      <c r="I36" s="751">
        <f>C35/8</f>
        <v>65600</v>
      </c>
    </row>
    <row r="37" spans="1:8" ht="12.75" customHeight="1">
      <c r="A37" s="982"/>
      <c r="B37" s="763" t="s">
        <v>558</v>
      </c>
      <c r="C37" s="764">
        <v>15000</v>
      </c>
      <c r="D37" s="985"/>
      <c r="E37" s="767" t="s">
        <v>559</v>
      </c>
      <c r="F37" s="763" t="s">
        <v>560</v>
      </c>
      <c r="G37" s="764">
        <v>23913.52</v>
      </c>
      <c r="H37" s="969"/>
    </row>
    <row r="38" spans="1:8" ht="12.75" customHeight="1">
      <c r="A38" s="982"/>
      <c r="B38" s="763" t="s">
        <v>561</v>
      </c>
      <c r="C38" s="764">
        <f>50300+3000+4152.43+3000</f>
        <v>60452.43</v>
      </c>
      <c r="D38" s="985"/>
      <c r="E38" s="767" t="s">
        <v>562</v>
      </c>
      <c r="F38" s="763" t="s">
        <v>563</v>
      </c>
      <c r="G38" s="764">
        <v>18900</v>
      </c>
      <c r="H38" s="969"/>
    </row>
    <row r="39" spans="1:8" ht="12.75" customHeight="1" thickBot="1">
      <c r="A39" s="988" t="s">
        <v>107</v>
      </c>
      <c r="B39" s="763" t="s">
        <v>564</v>
      </c>
      <c r="C39" s="764">
        <v>4985265.21</v>
      </c>
      <c r="D39" s="765"/>
      <c r="E39" s="770"/>
      <c r="F39" s="771" t="s">
        <v>565</v>
      </c>
      <c r="G39" s="772">
        <v>168530.51</v>
      </c>
      <c r="H39" s="773"/>
    </row>
    <row r="40" spans="1:8" ht="12.75" customHeight="1">
      <c r="A40" s="988"/>
      <c r="B40" s="763" t="s">
        <v>566</v>
      </c>
      <c r="C40" s="764">
        <f>945631.96-125309.29-228015.79</f>
        <v>592306.8799999999</v>
      </c>
      <c r="D40" s="765"/>
      <c r="E40" s="774"/>
      <c r="F40" s="774"/>
      <c r="G40" s="774"/>
      <c r="H40" s="774"/>
    </row>
    <row r="41" spans="1:9" ht="12.75" customHeight="1">
      <c r="A41" s="988"/>
      <c r="B41" s="763" t="s">
        <v>567</v>
      </c>
      <c r="C41" s="764">
        <v>1144628.83</v>
      </c>
      <c r="D41" s="765"/>
      <c r="E41" s="774"/>
      <c r="F41" s="774"/>
      <c r="G41" s="775">
        <f>C47+G47</f>
        <v>59673710.769999996</v>
      </c>
      <c r="H41" s="774"/>
      <c r="I41" s="751">
        <f>G41-C3-C4-C5</f>
        <v>23380135.549999997</v>
      </c>
    </row>
    <row r="42" spans="1:8" ht="12.75" customHeight="1">
      <c r="A42" s="988"/>
      <c r="B42" s="763" t="s">
        <v>568</v>
      </c>
      <c r="C42" s="764">
        <f>9116+7292+980+306.69+2.6+7612+100000</f>
        <v>125309.29</v>
      </c>
      <c r="D42" s="765"/>
      <c r="E42" s="774"/>
      <c r="F42" s="774"/>
      <c r="G42" s="774"/>
      <c r="H42" s="774"/>
    </row>
    <row r="43" spans="1:8" ht="12.75" customHeight="1">
      <c r="A43" s="762" t="s">
        <v>569</v>
      </c>
      <c r="B43" s="763" t="s">
        <v>570</v>
      </c>
      <c r="C43" s="764">
        <v>3000</v>
      </c>
      <c r="D43" s="765"/>
      <c r="E43" s="774"/>
      <c r="F43" s="774"/>
      <c r="G43" s="774"/>
      <c r="H43" s="774"/>
    </row>
    <row r="44" spans="1:8" ht="12.75" customHeight="1">
      <c r="A44" s="974" t="s">
        <v>571</v>
      </c>
      <c r="B44" s="763" t="s">
        <v>572</v>
      </c>
      <c r="C44" s="764">
        <v>19010</v>
      </c>
      <c r="D44" s="973">
        <f>SUM(C44:C45)</f>
        <v>25810</v>
      </c>
      <c r="E44" s="774"/>
      <c r="F44" s="774"/>
      <c r="G44" s="774"/>
      <c r="H44" s="774"/>
    </row>
    <row r="45" spans="1:8" ht="12.75" customHeight="1" thickBot="1">
      <c r="A45" s="986"/>
      <c r="B45" s="771" t="s">
        <v>573</v>
      </c>
      <c r="C45" s="772">
        <v>6800</v>
      </c>
      <c r="D45" s="987"/>
      <c r="E45" s="774"/>
      <c r="F45" s="774"/>
      <c r="G45" s="774"/>
      <c r="H45" s="774"/>
    </row>
    <row r="46" spans="5:8" ht="15" customHeight="1">
      <c r="E46" s="774"/>
      <c r="F46" s="774"/>
      <c r="G46" s="774"/>
      <c r="H46" s="774"/>
    </row>
    <row r="47" spans="3:7" ht="15" customHeight="1">
      <c r="C47" s="749">
        <f>SUM(C3:C45)</f>
        <v>57875573.779999994</v>
      </c>
      <c r="G47" s="750">
        <f>SUM(G1:G39)</f>
        <v>1798136.99</v>
      </c>
    </row>
    <row r="48" ht="15" customHeight="1">
      <c r="G48" s="752"/>
    </row>
  </sheetData>
  <sheetProtection/>
  <mergeCells count="37">
    <mergeCell ref="A44:A45"/>
    <mergeCell ref="D44:D45"/>
    <mergeCell ref="A34:A35"/>
    <mergeCell ref="D34:D35"/>
    <mergeCell ref="H35:H38"/>
    <mergeCell ref="A36:A38"/>
    <mergeCell ref="D36:D38"/>
    <mergeCell ref="A39:A42"/>
    <mergeCell ref="A24:A25"/>
    <mergeCell ref="D24:D25"/>
    <mergeCell ref="A27:A29"/>
    <mergeCell ref="D27:D29"/>
    <mergeCell ref="H28:H33"/>
    <mergeCell ref="A30:A31"/>
    <mergeCell ref="D30:D31"/>
    <mergeCell ref="A17:A19"/>
    <mergeCell ref="E17:E18"/>
    <mergeCell ref="H17:H18"/>
    <mergeCell ref="E19:E20"/>
    <mergeCell ref="H19:H22"/>
    <mergeCell ref="A20:A21"/>
    <mergeCell ref="E21:E22"/>
    <mergeCell ref="A11:A13"/>
    <mergeCell ref="D11:D13"/>
    <mergeCell ref="H11:H12"/>
    <mergeCell ref="E13:E14"/>
    <mergeCell ref="H13:H14"/>
    <mergeCell ref="A14:A15"/>
    <mergeCell ref="D14:D15"/>
    <mergeCell ref="E15:E16"/>
    <mergeCell ref="H15:H16"/>
    <mergeCell ref="E3:E5"/>
    <mergeCell ref="H3:H5"/>
    <mergeCell ref="E6:E7"/>
    <mergeCell ref="H6:H9"/>
    <mergeCell ref="A8:A9"/>
    <mergeCell ref="D8:D10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0">
      <selection activeCell="K37" sqref="K37"/>
    </sheetView>
  </sheetViews>
  <sheetFormatPr defaultColWidth="8.796875" defaultRowHeight="14.25"/>
  <cols>
    <col min="1" max="1" width="26.5" style="576" customWidth="1"/>
    <col min="2" max="2" width="7.8984375" style="594" hidden="1" customWidth="1"/>
    <col min="3" max="4" width="6.19921875" style="594" customWidth="1"/>
    <col min="5" max="5" width="9.09765625" style="576" customWidth="1"/>
    <col min="6" max="6" width="10.69921875" style="576" customWidth="1"/>
    <col min="7" max="7" width="11.8984375" style="576" customWidth="1"/>
    <col min="8" max="8" width="10.59765625" style="576" customWidth="1"/>
    <col min="9" max="9" width="11.19921875" style="576" customWidth="1"/>
    <col min="10" max="10" width="11" style="18" customWidth="1"/>
    <col min="11" max="11" width="14.59765625" style="18" customWidth="1"/>
    <col min="12" max="12" width="13.19921875" style="18" customWidth="1"/>
    <col min="13" max="13" width="13.5" style="18" customWidth="1"/>
    <col min="14" max="14" width="14.19921875" style="18" customWidth="1"/>
    <col min="15" max="16" width="14.8984375" style="18" customWidth="1"/>
    <col min="17" max="18" width="14.59765625" style="18" customWidth="1"/>
    <col min="19" max="21" width="10.69921875" style="18" customWidth="1"/>
    <col min="22" max="23" width="12.69921875" style="608" customWidth="1"/>
    <col min="24" max="24" width="14.09765625" style="18" customWidth="1"/>
    <col min="25" max="25" width="9" style="18" customWidth="1"/>
    <col min="26" max="26" width="11.59765625" style="18" customWidth="1"/>
    <col min="27" max="27" width="9" style="18" customWidth="1"/>
    <col min="28" max="16384" width="9" style="18" customWidth="1"/>
  </cols>
  <sheetData>
    <row r="1" spans="1:14" ht="18.75">
      <c r="A1" s="802" t="s">
        <v>339</v>
      </c>
      <c r="B1" s="802"/>
      <c r="C1" s="802"/>
      <c r="D1" s="802"/>
      <c r="E1" s="802"/>
      <c r="F1" s="802"/>
      <c r="G1" s="802"/>
      <c r="H1" s="802"/>
      <c r="I1" s="595"/>
      <c r="J1" s="595"/>
      <c r="K1" s="595"/>
      <c r="L1" s="595"/>
      <c r="M1" s="595"/>
      <c r="N1" s="595"/>
    </row>
    <row r="2" spans="1:14" ht="18.75">
      <c r="A2" s="1001" t="s">
        <v>429</v>
      </c>
      <c r="B2" s="1001"/>
      <c r="C2" s="1001"/>
      <c r="D2" s="1001"/>
      <c r="E2" s="1001"/>
      <c r="F2" s="1001"/>
      <c r="G2" s="1001"/>
      <c r="H2" s="1001"/>
      <c r="I2" s="594"/>
      <c r="J2" s="594"/>
      <c r="K2" s="594"/>
      <c r="L2" s="594"/>
      <c r="M2" s="594"/>
      <c r="N2" s="594"/>
    </row>
    <row r="3" spans="1:14" ht="13.5" thickBot="1">
      <c r="A3" s="1002"/>
      <c r="B3" s="1002"/>
      <c r="C3" s="1002"/>
      <c r="D3" s="1002"/>
      <c r="E3" s="1002"/>
      <c r="F3" s="1002"/>
      <c r="G3" s="1002"/>
      <c r="H3" s="1002"/>
      <c r="I3" s="596"/>
      <c r="J3" s="240"/>
      <c r="K3" s="240"/>
      <c r="L3" s="240"/>
      <c r="M3" s="240"/>
      <c r="N3" s="240"/>
    </row>
    <row r="4" spans="1:23" ht="28.5" customHeight="1">
      <c r="A4" s="661" t="s">
        <v>94</v>
      </c>
      <c r="B4" s="1003" t="s">
        <v>337</v>
      </c>
      <c r="C4" s="1003"/>
      <c r="D4" s="1003"/>
      <c r="E4" s="685" t="s">
        <v>96</v>
      </c>
      <c r="F4" s="989" t="s">
        <v>378</v>
      </c>
      <c r="G4" s="990"/>
      <c r="H4" s="1004" t="s">
        <v>379</v>
      </c>
      <c r="I4" s="1005"/>
      <c r="J4" s="233"/>
      <c r="K4" s="233"/>
      <c r="L4" s="239">
        <f>Штатное!AT40</f>
        <v>748886.0526000002</v>
      </c>
      <c r="M4" s="233"/>
      <c r="U4" s="608"/>
      <c r="V4" s="608">
        <f>V7*12+V9+V8+W6</f>
        <v>2420514.48</v>
      </c>
      <c r="W4" s="18"/>
    </row>
    <row r="5" spans="1:23" ht="13.5" thickBot="1">
      <c r="A5" s="694" t="s">
        <v>97</v>
      </c>
      <c r="B5" s="695">
        <v>2017</v>
      </c>
      <c r="C5" s="695">
        <v>2018</v>
      </c>
      <c r="D5" s="695">
        <v>2019</v>
      </c>
      <c r="E5" s="695" t="s">
        <v>98</v>
      </c>
      <c r="F5" s="695" t="s">
        <v>99</v>
      </c>
      <c r="G5" s="695" t="s">
        <v>100</v>
      </c>
      <c r="H5" s="695" t="s">
        <v>99</v>
      </c>
      <c r="I5" s="696" t="s">
        <v>100</v>
      </c>
      <c r="J5" s="569"/>
      <c r="K5" s="569"/>
      <c r="L5" s="239">
        <f>(D8+D9)*E8+(D21+D22)*E21</f>
        <v>752627.6234608951</v>
      </c>
      <c r="M5" s="569"/>
      <c r="U5" s="608"/>
      <c r="W5" s="18"/>
    </row>
    <row r="6" spans="1:24" ht="13.5">
      <c r="A6" s="1006" t="s">
        <v>101</v>
      </c>
      <c r="B6" s="1007"/>
      <c r="C6" s="1007"/>
      <c r="D6" s="1007"/>
      <c r="E6" s="1007"/>
      <c r="F6" s="1007"/>
      <c r="G6" s="1007"/>
      <c r="H6" s="1007"/>
      <c r="I6" s="693"/>
      <c r="J6" s="609"/>
      <c r="K6" s="609"/>
      <c r="L6" s="609"/>
      <c r="M6" s="609"/>
      <c r="N6" s="609"/>
      <c r="S6" s="18" t="s">
        <v>102</v>
      </c>
      <c r="T6" s="610" t="s">
        <v>103</v>
      </c>
      <c r="U6" s="610">
        <v>2018</v>
      </c>
      <c r="V6" s="610" t="s">
        <v>377</v>
      </c>
      <c r="W6" s="18">
        <v>15000</v>
      </c>
      <c r="X6" s="18" t="s">
        <v>396</v>
      </c>
    </row>
    <row r="7" spans="1:24" ht="15.75">
      <c r="A7" s="687" t="s">
        <v>104</v>
      </c>
      <c r="B7" s="597"/>
      <c r="C7" s="597"/>
      <c r="D7" s="597"/>
      <c r="E7" s="584">
        <f>E8+E21</f>
        <v>107605.54999449999</v>
      </c>
      <c r="F7" s="586"/>
      <c r="G7" s="586"/>
      <c r="H7" s="586"/>
      <c r="I7" s="664"/>
      <c r="J7" s="611"/>
      <c r="K7" s="612"/>
      <c r="L7" s="608">
        <f>L8+L22</f>
        <v>9031531.48153074</v>
      </c>
      <c r="N7" s="608">
        <f>N8+N22</f>
        <v>8303470.835593195</v>
      </c>
      <c r="O7" s="608"/>
      <c r="S7" s="232" t="s">
        <v>105</v>
      </c>
      <c r="T7" s="613">
        <v>191603.6</v>
      </c>
      <c r="U7" s="613">
        <v>201498.78</v>
      </c>
      <c r="V7" s="613">
        <f>3833.46*49</f>
        <v>187839.54</v>
      </c>
      <c r="W7" s="232" t="s">
        <v>106</v>
      </c>
      <c r="X7" s="608">
        <f>U7-T7</f>
        <v>9895.179999999993</v>
      </c>
    </row>
    <row r="8" spans="1:23" ht="13.5">
      <c r="A8" s="665" t="s">
        <v>107</v>
      </c>
      <c r="B8" s="586">
        <v>4.98</v>
      </c>
      <c r="C8" s="587">
        <v>4.98</v>
      </c>
      <c r="D8" s="598">
        <v>4.98</v>
      </c>
      <c r="E8" s="581">
        <f>E10+E11+E12+E13+E14</f>
        <v>90737.69999483999</v>
      </c>
      <c r="F8" s="587">
        <f>C8*E8</f>
        <v>451873.74597430316</v>
      </c>
      <c r="G8" s="587">
        <f aca="true" t="shared" si="0" ref="G8:G17">F8*12</f>
        <v>5422484.951691638</v>
      </c>
      <c r="H8" s="581">
        <f>J8*E8</f>
        <v>451873.74597430316</v>
      </c>
      <c r="I8" s="666">
        <f aca="true" t="shared" si="1" ref="I8:I17">H8*12</f>
        <v>5422484.951691638</v>
      </c>
      <c r="J8" s="614">
        <f>4.98</f>
        <v>4.98</v>
      </c>
      <c r="K8" s="615">
        <f>J8*E8</f>
        <v>451873.74597430316</v>
      </c>
      <c r="L8" s="616">
        <f>I8+I9</f>
        <v>7088429.1235969</v>
      </c>
      <c r="N8" s="616">
        <f>G8+G9</f>
        <v>6522225.875629099</v>
      </c>
      <c r="O8" s="616">
        <f>(D8+D9)*E8+(D21+D22)*E21</f>
        <v>752627.6234608951</v>
      </c>
      <c r="Q8" s="616"/>
      <c r="S8" s="232" t="s">
        <v>108</v>
      </c>
      <c r="T8" s="613">
        <v>77342</v>
      </c>
      <c r="U8" s="613">
        <v>77342</v>
      </c>
      <c r="V8" s="613">
        <f>1560*49</f>
        <v>76440</v>
      </c>
      <c r="W8" s="232" t="s">
        <v>109</v>
      </c>
    </row>
    <row r="9" spans="1:23" ht="13.5">
      <c r="A9" s="665" t="s">
        <v>428</v>
      </c>
      <c r="B9" s="586">
        <v>1.01</v>
      </c>
      <c r="C9" s="587">
        <v>1.01</v>
      </c>
      <c r="D9" s="598">
        <v>1.53</v>
      </c>
      <c r="E9" s="587"/>
      <c r="F9" s="587">
        <f>C9*E8</f>
        <v>91645.0769947884</v>
      </c>
      <c r="G9" s="587">
        <f t="shared" si="0"/>
        <v>1099740.9239374609</v>
      </c>
      <c r="H9" s="581">
        <f>D9*E8</f>
        <v>138828.6809921052</v>
      </c>
      <c r="I9" s="666">
        <f>H9*12</f>
        <v>1665944.1719052624</v>
      </c>
      <c r="J9" s="614">
        <v>1.53</v>
      </c>
      <c r="K9" s="615">
        <f>J9*E8</f>
        <v>138828.6809921052</v>
      </c>
      <c r="S9" s="18" t="s">
        <v>295</v>
      </c>
      <c r="U9" s="608">
        <v>25000</v>
      </c>
      <c r="V9" s="608">
        <v>75000</v>
      </c>
      <c r="W9" s="18"/>
    </row>
    <row r="10" spans="1:25" ht="25.5">
      <c r="A10" s="665" t="s">
        <v>111</v>
      </c>
      <c r="B10" s="586">
        <v>1.48</v>
      </c>
      <c r="C10" s="581">
        <f aca="true" t="shared" si="2" ref="C10:D14">P10</f>
        <v>1.5400751019960595</v>
      </c>
      <c r="D10" s="598">
        <f>Q10</f>
        <v>1.4790832904614972</v>
      </c>
      <c r="E10" s="587">
        <f>'2019_метраж'!B9</f>
        <v>19482.09999887</v>
      </c>
      <c r="F10" s="587">
        <f>C10*E10</f>
        <v>30003.897142857142</v>
      </c>
      <c r="G10" s="587">
        <f t="shared" si="0"/>
        <v>360046.7657142857</v>
      </c>
      <c r="H10" s="587">
        <f>D10*E10</f>
        <v>28815.64857142857</v>
      </c>
      <c r="I10" s="666">
        <f t="shared" si="1"/>
        <v>345787.78285714285</v>
      </c>
      <c r="J10" s="614"/>
      <c r="K10" s="281"/>
      <c r="L10" s="617">
        <f>(V7*12+V8+V9+W6)/12/49</f>
        <v>4116.521224489796</v>
      </c>
      <c r="M10" s="617">
        <f>L10*7/D10</f>
        <v>19482.09999887</v>
      </c>
      <c r="N10" s="617">
        <f>(U7*12+U8+U9)/12/49</f>
        <v>4286.271020408163</v>
      </c>
      <c r="O10" s="617">
        <f>L10</f>
        <v>4116.521224489796</v>
      </c>
      <c r="P10" s="617">
        <f>N10*7/E10</f>
        <v>1.5400751019960595</v>
      </c>
      <c r="Q10" s="617">
        <f>O10*7/E10</f>
        <v>1.4790832904614972</v>
      </c>
      <c r="R10" s="617">
        <f>C10-B10</f>
        <v>0.06007510199605948</v>
      </c>
      <c r="S10" s="608">
        <f>R10*E10</f>
        <v>1170.3891445295453</v>
      </c>
      <c r="T10" s="618">
        <v>12.63</v>
      </c>
      <c r="U10" s="619">
        <v>19356.3</v>
      </c>
      <c r="V10" s="620"/>
      <c r="W10" s="239">
        <f>1.55*E10</f>
        <v>30197.2549982485</v>
      </c>
      <c r="Y10" s="621">
        <f>SUM(U10:U14)</f>
        <v>90568.4</v>
      </c>
    </row>
    <row r="11" spans="1:23" ht="25.5">
      <c r="A11" s="665" t="s">
        <v>112</v>
      </c>
      <c r="B11" s="586">
        <v>1.37</v>
      </c>
      <c r="C11" s="581">
        <f t="shared" si="2"/>
        <v>1.4419266031919817</v>
      </c>
      <c r="D11" s="598">
        <f>Q11</f>
        <v>1.3848217805021192</v>
      </c>
      <c r="E11" s="587">
        <f>'2019_метраж'!B11</f>
        <v>17835.599999</v>
      </c>
      <c r="F11" s="587">
        <f>C11*E11</f>
        <v>25717.62612244898</v>
      </c>
      <c r="G11" s="587">
        <f t="shared" si="0"/>
        <v>308611.5134693878</v>
      </c>
      <c r="H11" s="587">
        <f>D11*E11</f>
        <v>24699.127346938774</v>
      </c>
      <c r="I11" s="666">
        <f t="shared" si="1"/>
        <v>296389.5281632653</v>
      </c>
      <c r="J11" s="614"/>
      <c r="K11" s="281"/>
      <c r="L11" s="617">
        <f>(V7*12+V8+V9+W6)/12/49</f>
        <v>4116.521224489796</v>
      </c>
      <c r="M11" s="617">
        <f>L11*6/D11</f>
        <v>17835.599999</v>
      </c>
      <c r="N11" s="617">
        <f>(U7*12+U8+U9)/12/49</f>
        <v>4286.271020408163</v>
      </c>
      <c r="O11" s="617">
        <f>L11</f>
        <v>4116.521224489796</v>
      </c>
      <c r="P11" s="617">
        <f>N11*6/E11</f>
        <v>1.4419266031919817</v>
      </c>
      <c r="Q11" s="617">
        <f>O11*6/E11</f>
        <v>1.3848217805021192</v>
      </c>
      <c r="R11" s="617">
        <f>C11-B11</f>
        <v>0.07192660319198163</v>
      </c>
      <c r="S11" s="608">
        <f>R11*E11</f>
        <v>1282.854123818981</v>
      </c>
      <c r="T11" s="618">
        <v>12.52</v>
      </c>
      <c r="U11" s="619">
        <v>17835.5</v>
      </c>
      <c r="V11" s="620"/>
      <c r="W11" s="239">
        <f>1.44*E11</f>
        <v>25683.263998559996</v>
      </c>
    </row>
    <row r="12" spans="1:23" ht="25.5">
      <c r="A12" s="665" t="s">
        <v>113</v>
      </c>
      <c r="B12" s="586">
        <v>2.74</v>
      </c>
      <c r="C12" s="581">
        <f t="shared" si="2"/>
        <v>2.874170516252734</v>
      </c>
      <c r="D12" s="598">
        <f t="shared" si="2"/>
        <v>2.7603443358162876</v>
      </c>
      <c r="E12" s="587">
        <f>'2019_метраж'!B13</f>
        <v>20878.29999869</v>
      </c>
      <c r="F12" s="587">
        <f>C12*E12</f>
        <v>60007.794285714284</v>
      </c>
      <c r="G12" s="587">
        <f t="shared" si="0"/>
        <v>720093.5314285714</v>
      </c>
      <c r="H12" s="587">
        <f>D12*E12</f>
        <v>57631.29714285715</v>
      </c>
      <c r="I12" s="666">
        <f t="shared" si="1"/>
        <v>691575.5657142857</v>
      </c>
      <c r="J12" s="614"/>
      <c r="K12" s="281"/>
      <c r="L12" s="617">
        <f>(V7*12+V8+V9+W6)/12/49</f>
        <v>4116.521224489796</v>
      </c>
      <c r="M12" s="617">
        <f>L12*14/D12</f>
        <v>20878.29999869</v>
      </c>
      <c r="N12" s="617">
        <f>(U7*12+U8+U9)/12/49</f>
        <v>4286.271020408163</v>
      </c>
      <c r="O12" s="617">
        <f>L12</f>
        <v>4116.521224489796</v>
      </c>
      <c r="P12" s="617">
        <f>N12*14/E12</f>
        <v>2.874170516252734</v>
      </c>
      <c r="Q12" s="617">
        <f>O12*14/E12</f>
        <v>2.7603443358162876</v>
      </c>
      <c r="R12" s="617">
        <f>C12-B12</f>
        <v>0.13417051625273357</v>
      </c>
      <c r="S12" s="608">
        <f>R12*E12</f>
        <v>2801.252289303684</v>
      </c>
      <c r="T12" s="618">
        <v>13.89</v>
      </c>
      <c r="U12" s="619">
        <v>20878.5</v>
      </c>
      <c r="V12" s="620"/>
      <c r="W12" s="239">
        <f>2.87*E12</f>
        <v>59920.7209962403</v>
      </c>
    </row>
    <row r="13" spans="1:23" ht="25.5">
      <c r="A13" s="665" t="s">
        <v>114</v>
      </c>
      <c r="B13" s="586">
        <v>2.75</v>
      </c>
      <c r="C13" s="581">
        <f t="shared" si="2"/>
        <v>2.886202870284226</v>
      </c>
      <c r="D13" s="598">
        <f t="shared" si="2"/>
        <v>2.771900170833574</v>
      </c>
      <c r="E13" s="587">
        <f>'2019_метраж'!B15</f>
        <v>14850.899999229998</v>
      </c>
      <c r="F13" s="587">
        <f>C13*E13</f>
        <v>42862.71020408163</v>
      </c>
      <c r="G13" s="587">
        <f t="shared" si="0"/>
        <v>514352.52244897955</v>
      </c>
      <c r="H13" s="587">
        <f>D13*E13</f>
        <v>41165.21224489796</v>
      </c>
      <c r="I13" s="666">
        <f t="shared" si="1"/>
        <v>493982.54693877546</v>
      </c>
      <c r="J13" s="614"/>
      <c r="K13" s="281"/>
      <c r="L13" s="617">
        <f>(V7*12+V8+V9+W6)/12/49</f>
        <v>4116.521224489796</v>
      </c>
      <c r="M13" s="617">
        <f>L13*10/D13</f>
        <v>14850.89999923</v>
      </c>
      <c r="N13" s="617">
        <f>(U7*12+U8+U9)/12/49</f>
        <v>4286.271020408163</v>
      </c>
      <c r="O13" s="617">
        <f>L13</f>
        <v>4116.521224489796</v>
      </c>
      <c r="P13" s="617">
        <f>N13*10/E13</f>
        <v>2.886202870284226</v>
      </c>
      <c r="Q13" s="617">
        <f>O13*10/E13</f>
        <v>2.771900170833574</v>
      </c>
      <c r="R13" s="617">
        <f>C13-B13</f>
        <v>0.13620287028422595</v>
      </c>
      <c r="S13" s="608">
        <f>R13*E13</f>
        <v>2022.7352061991346</v>
      </c>
      <c r="T13" s="618">
        <v>13.9</v>
      </c>
      <c r="U13" s="619">
        <v>14846.4</v>
      </c>
      <c r="V13" s="620"/>
      <c r="W13" s="239">
        <f>2.89*E13</f>
        <v>42919.100997774694</v>
      </c>
    </row>
    <row r="14" spans="1:23" ht="25.5">
      <c r="A14" s="665" t="s">
        <v>115</v>
      </c>
      <c r="B14" s="586">
        <v>2.77</v>
      </c>
      <c r="C14" s="581">
        <f t="shared" si="2"/>
        <v>2.9074576756087938</v>
      </c>
      <c r="D14" s="598">
        <f t="shared" si="2"/>
        <v>2.7923132191042943</v>
      </c>
      <c r="E14" s="587">
        <f>'2019_метраж'!B17</f>
        <v>17690.79999905</v>
      </c>
      <c r="F14" s="587">
        <f>C14*E14</f>
        <v>51435.252244897965</v>
      </c>
      <c r="G14" s="587">
        <f t="shared" si="0"/>
        <v>617223.0269387756</v>
      </c>
      <c r="H14" s="587">
        <f>D14*E14</f>
        <v>49398.25469387755</v>
      </c>
      <c r="I14" s="666">
        <f t="shared" si="1"/>
        <v>592779.0563265306</v>
      </c>
      <c r="J14" s="614"/>
      <c r="K14" s="281"/>
      <c r="L14" s="617">
        <f>(V7*12+V8+V9+W6)/12/49</f>
        <v>4116.521224489796</v>
      </c>
      <c r="M14" s="617">
        <f>L14*12/D14</f>
        <v>17690.79999905</v>
      </c>
      <c r="N14" s="617">
        <f>(U7*12+U8+U9)/12/49</f>
        <v>4286.271020408163</v>
      </c>
      <c r="O14" s="617">
        <f>L14</f>
        <v>4116.521224489796</v>
      </c>
      <c r="P14" s="617">
        <f>N14*12/E14</f>
        <v>2.9074576756087938</v>
      </c>
      <c r="Q14" s="617">
        <f>O14*12/E14</f>
        <v>2.7923132191042943</v>
      </c>
      <c r="R14" s="617">
        <f>C14-B14</f>
        <v>0.13745767560879374</v>
      </c>
      <c r="S14" s="608">
        <f>R14*E14</f>
        <v>2431.7362475294635</v>
      </c>
      <c r="T14" s="618">
        <v>13.92</v>
      </c>
      <c r="U14" s="619">
        <v>17651.7</v>
      </c>
      <c r="V14" s="620"/>
      <c r="W14" s="239">
        <f>2.91*E14</f>
        <v>51480.2279972355</v>
      </c>
    </row>
    <row r="15" spans="1:23" ht="27" customHeight="1">
      <c r="A15" s="665" t="s">
        <v>116</v>
      </c>
      <c r="B15" s="586">
        <v>0.07</v>
      </c>
      <c r="C15" s="587">
        <v>0.07</v>
      </c>
      <c r="D15" s="598">
        <v>0.11</v>
      </c>
      <c r="E15" s="587"/>
      <c r="F15" s="587">
        <f>C15*E8</f>
        <v>6351.6389996388</v>
      </c>
      <c r="G15" s="587">
        <f t="shared" si="0"/>
        <v>76219.6679956656</v>
      </c>
      <c r="H15" s="587">
        <f>D15*E8</f>
        <v>9981.1469994324</v>
      </c>
      <c r="I15" s="666">
        <f t="shared" si="1"/>
        <v>119773.7639931888</v>
      </c>
      <c r="J15" s="614">
        <v>0.1</v>
      </c>
      <c r="K15" s="281">
        <f>J15*E8</f>
        <v>9073.769999483999</v>
      </c>
      <c r="L15" s="617"/>
      <c r="N15" s="617"/>
      <c r="O15" s="617"/>
      <c r="S15" s="613">
        <f>SUM(S10:S14)</f>
        <v>9708.967011380808</v>
      </c>
      <c r="U15" s="608">
        <f>F10+F11+F12+F13+F14</f>
        <v>210027.28000000003</v>
      </c>
      <c r="W15" s="239">
        <f>SUM(W10:W14)</f>
        <v>210200.568988059</v>
      </c>
    </row>
    <row r="16" spans="1:23" ht="29.25" customHeight="1">
      <c r="A16" s="665" t="s">
        <v>117</v>
      </c>
      <c r="B16" s="586">
        <v>2.4</v>
      </c>
      <c r="C16" s="587">
        <v>2.4</v>
      </c>
      <c r="D16" s="598">
        <v>2.4</v>
      </c>
      <c r="E16" s="587"/>
      <c r="F16" s="587">
        <f>C16*E8</f>
        <v>217770.47998761598</v>
      </c>
      <c r="G16" s="587">
        <f t="shared" si="0"/>
        <v>2613245.759851392</v>
      </c>
      <c r="H16" s="587">
        <f>D16*E8</f>
        <v>217770.47998761598</v>
      </c>
      <c r="I16" s="666">
        <f t="shared" si="1"/>
        <v>2613245.759851392</v>
      </c>
      <c r="J16" s="614">
        <f>0.42</f>
        <v>0.42</v>
      </c>
      <c r="K16" s="281">
        <f>(E8*J16+J17*E21)*12</f>
        <v>457318.00797399355</v>
      </c>
      <c r="L16" s="613"/>
      <c r="M16" s="613">
        <f>H19+H27</f>
        <v>45194.33099768999</v>
      </c>
      <c r="N16" s="613">
        <f>F19+G27/12</f>
        <v>165122.26332868933</v>
      </c>
      <c r="O16" s="613"/>
      <c r="P16" s="613">
        <f>G19+G27</f>
        <v>1981467.159944272</v>
      </c>
      <c r="Q16" s="613">
        <f>H19+H27</f>
        <v>45194.33099768999</v>
      </c>
      <c r="R16" s="480" t="s">
        <v>385</v>
      </c>
      <c r="S16" s="480" t="s">
        <v>386</v>
      </c>
      <c r="T16" s="480" t="s">
        <v>387</v>
      </c>
      <c r="U16" s="622">
        <v>204</v>
      </c>
      <c r="V16" s="622"/>
      <c r="W16" s="480">
        <v>202</v>
      </c>
    </row>
    <row r="17" spans="1:24" ht="12.75">
      <c r="A17" s="665" t="s">
        <v>118</v>
      </c>
      <c r="B17" s="586">
        <v>1.79</v>
      </c>
      <c r="C17" s="587">
        <v>1.79</v>
      </c>
      <c r="D17" s="598">
        <v>1.8</v>
      </c>
      <c r="E17" s="587"/>
      <c r="F17" s="587">
        <f>C17*E8</f>
        <v>162420.4829907636</v>
      </c>
      <c r="G17" s="587">
        <f t="shared" si="0"/>
        <v>1949045.795889163</v>
      </c>
      <c r="H17" s="587">
        <f>D17*E8</f>
        <v>163327.859990712</v>
      </c>
      <c r="I17" s="666">
        <f t="shared" si="1"/>
        <v>1959934.3198885438</v>
      </c>
      <c r="J17" s="614"/>
      <c r="K17" s="281"/>
      <c r="L17" s="613"/>
      <c r="M17" s="613">
        <f>H16+H24</f>
        <v>259940.10498676597</v>
      </c>
      <c r="N17" s="613">
        <f>F16+F24</f>
        <v>259940.10498676597</v>
      </c>
      <c r="O17" s="613"/>
      <c r="P17" s="613">
        <f>G16+G24</f>
        <v>3119281.2598411916</v>
      </c>
      <c r="Q17" s="613">
        <f>H16+H24</f>
        <v>259940.10498676597</v>
      </c>
      <c r="R17" s="280">
        <f>R18+C33</f>
        <v>13.006367558181662</v>
      </c>
      <c r="S17" s="280">
        <f>S18+C33</f>
        <v>12.908219059377583</v>
      </c>
      <c r="T17" s="280">
        <f>T18+C33</f>
        <v>14.340462972438335</v>
      </c>
      <c r="U17" s="280">
        <f>U18+C33</f>
        <v>14.352495326469828</v>
      </c>
      <c r="V17" s="280"/>
      <c r="W17" s="280">
        <f>W18+C33</f>
        <v>14.373750131794395</v>
      </c>
      <c r="X17" s="18" t="s">
        <v>288</v>
      </c>
    </row>
    <row r="18" spans="1:23" ht="13.5" thickBot="1">
      <c r="A18" s="665"/>
      <c r="B18" s="586"/>
      <c r="C18" s="586"/>
      <c r="D18" s="586"/>
      <c r="E18" s="581"/>
      <c r="F18" s="660">
        <f>SUM(F8:F17)</f>
        <v>1140088.70494711</v>
      </c>
      <c r="G18" s="660">
        <f>SUM(G8:G17)</f>
        <v>13681064.459365321</v>
      </c>
      <c r="H18" s="660">
        <f>SUM(H8:H17)</f>
        <v>1183491.4539441688</v>
      </c>
      <c r="I18" s="667">
        <f>SUM(I8:I17)</f>
        <v>14201897.447330026</v>
      </c>
      <c r="J18" s="614"/>
      <c r="K18" s="281">
        <f>I16+I24+I41</f>
        <v>4144930.2198411915</v>
      </c>
      <c r="L18" s="613"/>
      <c r="M18" s="613">
        <f>E17+E25</f>
        <v>0</v>
      </c>
      <c r="N18" s="613">
        <f>(C17*E8+C25*E21)</f>
        <v>194469.39799011758</v>
      </c>
      <c r="O18" s="613"/>
      <c r="P18" s="613">
        <f>G17+G25</f>
        <v>2333632.7758814106</v>
      </c>
      <c r="Q18" s="613">
        <f>H17+H25</f>
        <v>193689.98999009997</v>
      </c>
      <c r="R18" s="623">
        <f>SUM(C8+C9+C10+C15+C19+C16+C17)</f>
        <v>12.690075101996062</v>
      </c>
      <c r="S18" s="623">
        <f>C8+C9+C11+C15+C19+C16+C17</f>
        <v>12.591926603191983</v>
      </c>
      <c r="T18" s="623">
        <f>C8+C9+C12+C15+C19+C16+C17</f>
        <v>14.024170516252735</v>
      </c>
      <c r="U18" s="622">
        <f>C8+C9+C13+C15+C19+C16+C17</f>
        <v>14.036202870284228</v>
      </c>
      <c r="V18" s="622"/>
      <c r="W18" s="623">
        <f>C8+C9+C14+C15+C19+C16+C17</f>
        <v>14.057457675608795</v>
      </c>
    </row>
    <row r="19" spans="1:23" ht="25.5">
      <c r="A19" s="665" t="s">
        <v>575</v>
      </c>
      <c r="B19" s="586">
        <v>0.9</v>
      </c>
      <c r="C19" s="581">
        <v>0.9</v>
      </c>
      <c r="D19" s="599">
        <v>0.42</v>
      </c>
      <c r="E19" s="587"/>
      <c r="F19" s="587">
        <f>C19*E8</f>
        <v>81663.929995356</v>
      </c>
      <c r="G19" s="587">
        <f>F19*12</f>
        <v>979967.1599442719</v>
      </c>
      <c r="H19" s="587">
        <f>J16*E8</f>
        <v>38109.83399783279</v>
      </c>
      <c r="I19" s="666">
        <f>H19*12</f>
        <v>457318.00797399355</v>
      </c>
      <c r="J19" s="624"/>
      <c r="K19" s="625"/>
      <c r="L19" s="626">
        <v>14518194.216</v>
      </c>
      <c r="M19" s="627">
        <f>14518194.216+U7*12</f>
        <v>16936179.576</v>
      </c>
      <c r="N19" s="627">
        <v>14518194.216</v>
      </c>
      <c r="O19" s="627"/>
      <c r="P19" s="627">
        <f>14518194.216+X7*12</f>
        <v>14636936.376</v>
      </c>
      <c r="Q19" s="628"/>
      <c r="R19" s="280">
        <f>R21+C35</f>
        <v>12.719083290461498</v>
      </c>
      <c r="S19" s="280">
        <f>S21+C35</f>
        <v>12.62482178050212</v>
      </c>
      <c r="T19" s="280">
        <f>T21+C35</f>
        <v>14.000344335816289</v>
      </c>
      <c r="U19" s="280">
        <f>U21+C35</f>
        <v>14.011900170833576</v>
      </c>
      <c r="V19" s="280"/>
      <c r="W19" s="280">
        <f>W21+C35</f>
        <v>14.032313219104296</v>
      </c>
    </row>
    <row r="20" spans="1:23" ht="13.5" customHeight="1">
      <c r="A20" s="686" t="s">
        <v>119</v>
      </c>
      <c r="B20" s="597"/>
      <c r="C20" s="587"/>
      <c r="D20" s="597"/>
      <c r="E20" s="587"/>
      <c r="F20" s="587"/>
      <c r="G20" s="587"/>
      <c r="H20" s="587"/>
      <c r="I20" s="666"/>
      <c r="J20" s="629"/>
      <c r="K20" s="629"/>
      <c r="L20" s="630"/>
      <c r="M20" s="631"/>
      <c r="N20" s="631"/>
      <c r="O20" s="631"/>
      <c r="P20" s="631"/>
      <c r="Q20" s="628"/>
      <c r="R20" s="632"/>
      <c r="S20" s="632"/>
      <c r="T20" s="632"/>
      <c r="U20" s="632"/>
      <c r="V20" s="632"/>
      <c r="W20" s="632"/>
    </row>
    <row r="21" spans="1:23" ht="13.5" customHeight="1" thickBot="1">
      <c r="A21" s="665" t="s">
        <v>107</v>
      </c>
      <c r="B21" s="584">
        <v>7.32</v>
      </c>
      <c r="C21" s="588">
        <v>7.32</v>
      </c>
      <c r="D21" s="588">
        <v>7.32</v>
      </c>
      <c r="E21" s="588">
        <f>'2019_метраж'!C20</f>
        <v>16867.849999659997</v>
      </c>
      <c r="F21" s="588">
        <f>C21*E21</f>
        <v>123472.66199751118</v>
      </c>
      <c r="G21" s="588">
        <f>F21*12</f>
        <v>1481671.9439701342</v>
      </c>
      <c r="H21" s="575">
        <f>D21*E21</f>
        <v>123472.66199751118</v>
      </c>
      <c r="I21" s="668">
        <f>H21*12</f>
        <v>1481671.9439701342</v>
      </c>
      <c r="J21" s="283"/>
      <c r="K21" s="283"/>
      <c r="L21" s="633">
        <v>2019</v>
      </c>
      <c r="M21" s="633">
        <v>2018</v>
      </c>
      <c r="N21" s="633">
        <v>2017</v>
      </c>
      <c r="O21" s="633"/>
      <c r="P21" s="633">
        <v>2018</v>
      </c>
      <c r="Q21" s="634"/>
      <c r="R21" s="623">
        <f>SUM(D8+D9+D10+D15+D16+D17)+D19</f>
        <v>12.719083290461498</v>
      </c>
      <c r="S21" s="623">
        <f>D8+D9+D11+D15+D16+D17+D19</f>
        <v>12.62482178050212</v>
      </c>
      <c r="T21" s="623">
        <f>D8+D9+D12+D15+D16+D17+D19</f>
        <v>14.000344335816289</v>
      </c>
      <c r="U21" s="622">
        <f>D8+D9+D13+D15+D16+D17+D19</f>
        <v>14.011900170833576</v>
      </c>
      <c r="V21" s="622"/>
      <c r="W21" s="623">
        <f>D8+D9+D14+D15+D16+D17+D19</f>
        <v>14.032313219104296</v>
      </c>
    </row>
    <row r="22" spans="1:23" ht="13.5" customHeight="1">
      <c r="A22" s="665" t="s">
        <v>428</v>
      </c>
      <c r="B22" s="584">
        <v>1.48</v>
      </c>
      <c r="C22" s="588">
        <v>1.48</v>
      </c>
      <c r="D22" s="588">
        <f>Штатное!AI33/См_доход!E21</f>
        <v>2.279634600601183</v>
      </c>
      <c r="E22" s="588"/>
      <c r="F22" s="588">
        <f>C22*E21</f>
        <v>24964.417999496796</v>
      </c>
      <c r="G22" s="588">
        <f>F22*12</f>
        <v>299573.01599396154</v>
      </c>
      <c r="H22" s="575">
        <f>D22*E21</f>
        <v>38452.53449697558</v>
      </c>
      <c r="I22" s="668">
        <f>H22*12</f>
        <v>461430.413963707</v>
      </c>
      <c r="J22" s="283"/>
      <c r="K22" s="283"/>
      <c r="L22" s="608">
        <f>I21+I22</f>
        <v>1943102.3579338412</v>
      </c>
      <c r="N22" s="608">
        <f>G21+G22</f>
        <v>1781244.9599640958</v>
      </c>
      <c r="O22" s="608"/>
      <c r="V22" s="620"/>
      <c r="W22" s="18"/>
    </row>
    <row r="23" spans="1:23" ht="13.5" customHeight="1">
      <c r="A23" s="665" t="s">
        <v>116</v>
      </c>
      <c r="B23" s="584">
        <v>0.07</v>
      </c>
      <c r="C23" s="588">
        <v>0.07</v>
      </c>
      <c r="D23" s="584">
        <v>0.07</v>
      </c>
      <c r="E23" s="588"/>
      <c r="F23" s="588">
        <f>C23*E21</f>
        <v>1180.7494999761998</v>
      </c>
      <c r="G23" s="588">
        <f>F23*12</f>
        <v>14168.993999714397</v>
      </c>
      <c r="H23" s="588">
        <f>D23*E21</f>
        <v>1180.7494999761998</v>
      </c>
      <c r="I23" s="668">
        <f>H23*12</f>
        <v>14168.993999714397</v>
      </c>
      <c r="J23" s="283"/>
      <c r="K23" s="283"/>
      <c r="L23" s="283"/>
      <c r="M23" s="283"/>
      <c r="T23" s="280">
        <v>13.23</v>
      </c>
      <c r="U23" s="635">
        <f>E21</f>
        <v>16867.849999659997</v>
      </c>
      <c r="V23" s="620"/>
      <c r="W23" s="18"/>
    </row>
    <row r="24" spans="1:23" ht="13.5" customHeight="1">
      <c r="A24" s="665" t="s">
        <v>117</v>
      </c>
      <c r="B24" s="584">
        <v>2.5</v>
      </c>
      <c r="C24" s="588">
        <v>2.5</v>
      </c>
      <c r="D24" s="584">
        <v>2.5</v>
      </c>
      <c r="E24" s="588"/>
      <c r="F24" s="588">
        <f>C24*E21</f>
        <v>42169.62499914999</v>
      </c>
      <c r="G24" s="588">
        <f>F24*12</f>
        <v>506035.4999897999</v>
      </c>
      <c r="H24" s="588">
        <f>D24*E21</f>
        <v>42169.62499914999</v>
      </c>
      <c r="I24" s="668">
        <f>H24*12</f>
        <v>506035.4999897999</v>
      </c>
      <c r="J24" s="283">
        <f>D23*E21+(D15-0.02)*E8</f>
        <v>9347.142499511798</v>
      </c>
      <c r="K24" s="283"/>
      <c r="L24" s="283">
        <f>H15+H23</f>
        <v>11161.8964994086</v>
      </c>
      <c r="M24" s="283"/>
      <c r="N24" s="616">
        <f>G15+G23</f>
        <v>90388.66199538</v>
      </c>
      <c r="O24" s="616"/>
      <c r="P24" s="616"/>
      <c r="Q24" s="616"/>
      <c r="R24" s="18" t="s">
        <v>120</v>
      </c>
      <c r="T24" s="632">
        <f>C21+C22+C23+C24+C25</f>
        <v>13.270000000000001</v>
      </c>
      <c r="U24" s="620">
        <f>T24*U23</f>
        <v>223836.36949548818</v>
      </c>
      <c r="V24" s="620"/>
      <c r="W24" s="18"/>
    </row>
    <row r="25" spans="1:23" ht="13.5" customHeight="1">
      <c r="A25" s="665" t="s">
        <v>118</v>
      </c>
      <c r="B25" s="584">
        <v>1.9</v>
      </c>
      <c r="C25" s="588">
        <v>1.9</v>
      </c>
      <c r="D25" s="584">
        <v>1.8</v>
      </c>
      <c r="E25" s="588"/>
      <c r="F25" s="588">
        <f>C25*E21</f>
        <v>32048.91499935399</v>
      </c>
      <c r="G25" s="588">
        <f>F25*12</f>
        <v>384586.9799922479</v>
      </c>
      <c r="H25" s="588">
        <f>D25*E21</f>
        <v>30362.129999387995</v>
      </c>
      <c r="I25" s="668">
        <f>H25*12</f>
        <v>364345.55999265594</v>
      </c>
      <c r="J25" s="283">
        <f>H27+H19</f>
        <v>45194.33099768999</v>
      </c>
      <c r="K25" s="283"/>
      <c r="L25" s="283">
        <f>H27+H19</f>
        <v>45194.33099768999</v>
      </c>
      <c r="M25" s="283">
        <f>I27+I19</f>
        <v>542331.97197228</v>
      </c>
      <c r="N25" s="18" t="s">
        <v>389</v>
      </c>
      <c r="O25" s="636"/>
      <c r="R25" s="18" t="s">
        <v>123</v>
      </c>
      <c r="S25" s="608">
        <f>201498.78-191903.6</f>
        <v>9595.179999999993</v>
      </c>
      <c r="T25" s="632"/>
      <c r="U25" s="620">
        <f>U24*12+600000</f>
        <v>3286036.433945858</v>
      </c>
      <c r="V25" s="620"/>
      <c r="W25" s="18"/>
    </row>
    <row r="26" spans="1:23" ht="13.5" customHeight="1">
      <c r="A26" s="665"/>
      <c r="B26" s="575">
        <f>SUM(B21:B25)</f>
        <v>13.270000000000001</v>
      </c>
      <c r="C26" s="575">
        <f>SUM(C21:C25)</f>
        <v>13.270000000000001</v>
      </c>
      <c r="D26" s="581">
        <f>D25+D24+D23+D22+D21</f>
        <v>13.969634600601184</v>
      </c>
      <c r="E26" s="581">
        <f>SUM(D21:D25)+D27</f>
        <v>14.389634600601184</v>
      </c>
      <c r="F26" s="575">
        <f>SUM(F21:F25)</f>
        <v>223836.36949548815</v>
      </c>
      <c r="G26" s="575">
        <f>SUM(G21:G25)</f>
        <v>2686036.433945858</v>
      </c>
      <c r="H26" s="575">
        <f>SUM(H21:H25)</f>
        <v>235637.70099300094</v>
      </c>
      <c r="I26" s="669">
        <f>SUM(I21:I25)</f>
        <v>2827652.411916012</v>
      </c>
      <c r="J26" s="283"/>
      <c r="K26" s="283"/>
      <c r="L26" s="283">
        <f>33*600</f>
        <v>19800</v>
      </c>
      <c r="M26" s="283">
        <f>L26*E21/(E21+E8)</f>
        <v>3103.775130653937</v>
      </c>
      <c r="N26" s="636" t="s">
        <v>122</v>
      </c>
      <c r="R26" s="18" t="s">
        <v>124</v>
      </c>
      <c r="S26" s="608">
        <f>28699.65-27217</f>
        <v>1482.6500000000015</v>
      </c>
      <c r="T26" s="632"/>
      <c r="U26" s="620"/>
      <c r="W26" s="18"/>
    </row>
    <row r="27" spans="1:23" ht="25.5">
      <c r="A27" s="665" t="s">
        <v>576</v>
      </c>
      <c r="B27" s="584"/>
      <c r="C27" s="589"/>
      <c r="D27" s="600">
        <v>0.42</v>
      </c>
      <c r="E27" s="589"/>
      <c r="F27" s="588"/>
      <c r="G27" s="575">
        <f>(3300*365/3)+600000</f>
        <v>1001500</v>
      </c>
      <c r="H27" s="588">
        <f>D27*E21</f>
        <v>7084.496999857199</v>
      </c>
      <c r="I27" s="668">
        <f>H27*12</f>
        <v>85013.96399828639</v>
      </c>
      <c r="J27" s="283"/>
      <c r="K27" s="283"/>
      <c r="L27" s="283"/>
      <c r="M27" s="283">
        <f>L26*E8/(E8+E21)</f>
        <v>16696.224869346064</v>
      </c>
      <c r="R27" s="18" t="s">
        <v>125</v>
      </c>
      <c r="S27" s="608">
        <f>119520.5-(20*365*155+3300*(365/3))/12</f>
        <v>-8229.5</v>
      </c>
      <c r="T27" s="608"/>
      <c r="U27" s="608"/>
      <c r="W27" s="18"/>
    </row>
    <row r="28" spans="1:23" ht="13.5" customHeight="1" thickBot="1">
      <c r="A28" s="670" t="s">
        <v>127</v>
      </c>
      <c r="B28" s="597"/>
      <c r="C28" s="590"/>
      <c r="D28" s="597"/>
      <c r="E28" s="590"/>
      <c r="F28" s="999" t="s">
        <v>128</v>
      </c>
      <c r="G28" s="999"/>
      <c r="H28" s="999" t="s">
        <v>128</v>
      </c>
      <c r="I28" s="1000"/>
      <c r="J28" s="283"/>
      <c r="K28" s="283"/>
      <c r="L28" s="283"/>
      <c r="M28" s="283"/>
      <c r="S28" s="608"/>
      <c r="T28" s="608"/>
      <c r="U28" s="608"/>
      <c r="W28" s="18"/>
    </row>
    <row r="29" spans="1:23" ht="13.5" customHeight="1" thickBot="1">
      <c r="A29" s="671"/>
      <c r="B29" s="601"/>
      <c r="C29" s="591"/>
      <c r="D29" s="601"/>
      <c r="E29" s="591"/>
      <c r="F29" s="999" t="s">
        <v>130</v>
      </c>
      <c r="G29" s="999"/>
      <c r="H29" s="999" t="s">
        <v>130</v>
      </c>
      <c r="I29" s="1000"/>
      <c r="J29" s="266">
        <v>14.54</v>
      </c>
      <c r="K29" s="266">
        <f>D26*E21</f>
        <v>235637.70099300097</v>
      </c>
      <c r="L29" s="266"/>
      <c r="M29" s="266"/>
      <c r="N29" s="637">
        <v>3743352</v>
      </c>
      <c r="O29" s="638"/>
      <c r="P29" s="639">
        <f>N29</f>
        <v>3743352</v>
      </c>
      <c r="Q29" s="640"/>
      <c r="S29" s="613">
        <f>SUM(S25:S27)</f>
        <v>2848.3299999999945</v>
      </c>
      <c r="T29" s="641">
        <f>(20*365*155+3300*0.83*(365/3))/12</f>
        <v>122062.08333333333</v>
      </c>
      <c r="U29" s="608" t="s">
        <v>126</v>
      </c>
      <c r="W29" s="18"/>
    </row>
    <row r="30" spans="1:23" ht="13.5" customHeight="1">
      <c r="A30" s="665" t="s">
        <v>129</v>
      </c>
      <c r="B30" s="586">
        <v>3.84</v>
      </c>
      <c r="C30" s="590">
        <v>4</v>
      </c>
      <c r="D30" s="587">
        <v>4.3</v>
      </c>
      <c r="E30" s="590"/>
      <c r="F30" s="602">
        <f>'Бюдж поступл'!E21</f>
        <v>151979.40723993455</v>
      </c>
      <c r="G30" s="585">
        <f>F30*12</f>
        <v>1823752.8868792146</v>
      </c>
      <c r="H30" s="602">
        <f>'[4]Анализ объемов'!$J$29*D30*0.87</f>
        <v>221802.76463908135</v>
      </c>
      <c r="I30" s="672">
        <f>H30*12</f>
        <v>2661633.1756689763</v>
      </c>
      <c r="J30" s="642"/>
      <c r="K30" s="642"/>
      <c r="L30" s="642"/>
      <c r="M30" s="642"/>
      <c r="N30" s="643">
        <f>N29+N19</f>
        <v>18261546.216</v>
      </c>
      <c r="O30" s="644"/>
      <c r="P30" s="645">
        <f>P19+P29</f>
        <v>18380288.376000002</v>
      </c>
      <c r="Q30" s="646"/>
      <c r="T30" s="608">
        <f>F19+(G27-600000)/12</f>
        <v>115122.26332868933</v>
      </c>
      <c r="U30" s="608"/>
      <c r="W30" s="18"/>
    </row>
    <row r="31" spans="1:23" ht="13.5" customHeight="1" thickBot="1">
      <c r="A31" s="665"/>
      <c r="B31" s="586"/>
      <c r="C31" s="591"/>
      <c r="D31" s="586"/>
      <c r="E31" s="591"/>
      <c r="F31" s="591"/>
      <c r="G31" s="592"/>
      <c r="H31" s="603"/>
      <c r="I31" s="673"/>
      <c r="J31" s="656"/>
      <c r="K31" s="656"/>
      <c r="L31" s="656"/>
      <c r="M31" s="656"/>
      <c r="N31" s="657">
        <v>2017</v>
      </c>
      <c r="O31" s="658"/>
      <c r="P31" s="659">
        <v>2018</v>
      </c>
      <c r="Q31" s="634"/>
      <c r="U31" s="608"/>
      <c r="W31" s="18"/>
    </row>
    <row r="32" spans="1:23" ht="13.5" customHeight="1">
      <c r="A32" s="670" t="s">
        <v>131</v>
      </c>
      <c r="B32" s="597"/>
      <c r="C32" s="591"/>
      <c r="D32" s="597"/>
      <c r="E32" s="591"/>
      <c r="F32" s="581"/>
      <c r="G32" s="581"/>
      <c r="H32" s="581"/>
      <c r="I32" s="674"/>
      <c r="J32" s="647"/>
      <c r="K32" s="647"/>
      <c r="L32" s="647"/>
      <c r="M32" s="647"/>
      <c r="P32" s="608">
        <f>G18+G26</f>
        <v>16367100.89331118</v>
      </c>
      <c r="Q32" s="608"/>
      <c r="U32" s="608"/>
      <c r="W32" s="18"/>
    </row>
    <row r="33" spans="1:23" ht="13.5" customHeight="1">
      <c r="A33" s="665" t="s">
        <v>132</v>
      </c>
      <c r="B33" s="586">
        <v>0.3</v>
      </c>
      <c r="C33" s="604">
        <f>F33/E8</f>
        <v>0.31629245618559954</v>
      </c>
      <c r="D33" s="582">
        <f>H33/E8</f>
        <v>0.3217075151966604</v>
      </c>
      <c r="E33" s="587">
        <f>E8</f>
        <v>90737.69999483999</v>
      </c>
      <c r="F33" s="587">
        <v>28699.65</v>
      </c>
      <c r="G33" s="587">
        <f>F33*12</f>
        <v>344395.80000000005</v>
      </c>
      <c r="H33" s="587">
        <v>29191</v>
      </c>
      <c r="I33" s="666">
        <f>H33*12</f>
        <v>350292</v>
      </c>
      <c r="J33" s="234"/>
      <c r="K33" s="234"/>
      <c r="L33" s="234"/>
      <c r="M33" s="234"/>
      <c r="U33" s="608"/>
      <c r="W33" s="18"/>
    </row>
    <row r="34" spans="1:23" ht="13.5" customHeight="1">
      <c r="A34" s="665"/>
      <c r="B34" s="586"/>
      <c r="C34" s="586">
        <v>0.32</v>
      </c>
      <c r="D34" s="586">
        <v>0.32</v>
      </c>
      <c r="E34" s="592"/>
      <c r="F34" s="587"/>
      <c r="G34" s="587"/>
      <c r="H34" s="587">
        <f>D34*E33</f>
        <v>29036.063998348796</v>
      </c>
      <c r="I34" s="674">
        <f>H34*12</f>
        <v>348432.76798018557</v>
      </c>
      <c r="J34" s="648"/>
      <c r="K34" s="649"/>
      <c r="L34" s="649"/>
      <c r="M34" s="649" t="s">
        <v>388</v>
      </c>
      <c r="N34" s="650"/>
      <c r="U34" s="608"/>
      <c r="W34" s="18"/>
    </row>
    <row r="35" spans="1:23" ht="12.75" customHeight="1">
      <c r="A35" s="665"/>
      <c r="B35" s="586"/>
      <c r="C35" s="586"/>
      <c r="D35" s="586"/>
      <c r="E35" s="592"/>
      <c r="F35" s="581"/>
      <c r="G35" s="581"/>
      <c r="H35" s="581"/>
      <c r="I35" s="674"/>
      <c r="J35" s="614"/>
      <c r="K35" s="281"/>
      <c r="L35" s="281">
        <f>0.32*E8</f>
        <v>29036.063998348796</v>
      </c>
      <c r="M35" s="649">
        <f>H33-L35</f>
        <v>154.9360016512037</v>
      </c>
      <c r="N35" s="625">
        <f>M35*12</f>
        <v>1859.2320198144444</v>
      </c>
      <c r="U35" s="608"/>
      <c r="W35" s="18"/>
    </row>
    <row r="36" spans="1:23" ht="12.75" customHeight="1">
      <c r="A36" s="670" t="s">
        <v>134</v>
      </c>
      <c r="B36" s="597"/>
      <c r="C36" s="597"/>
      <c r="D36" s="597"/>
      <c r="E36" s="592"/>
      <c r="F36" s="581"/>
      <c r="G36" s="581"/>
      <c r="H36" s="581"/>
      <c r="I36" s="674"/>
      <c r="J36" s="283"/>
      <c r="K36" s="283"/>
      <c r="L36" s="283"/>
      <c r="M36" s="283"/>
      <c r="U36" s="608"/>
      <c r="W36" s="18"/>
    </row>
    <row r="37" spans="1:25" s="240" customFormat="1" ht="12.75" customHeight="1">
      <c r="A37" s="995" t="s">
        <v>135</v>
      </c>
      <c r="B37" s="996"/>
      <c r="C37" s="996"/>
      <c r="D37" s="996"/>
      <c r="E37" s="592"/>
      <c r="F37" s="587">
        <f>6500</f>
        <v>6500</v>
      </c>
      <c r="G37" s="587">
        <f>F37*12</f>
        <v>78000</v>
      </c>
      <c r="H37" s="587">
        <f>6500</f>
        <v>6500</v>
      </c>
      <c r="I37" s="666">
        <f>H37*12</f>
        <v>78000</v>
      </c>
      <c r="J37" s="266"/>
      <c r="K37" s="266"/>
      <c r="L37" s="266"/>
      <c r="M37" s="266"/>
      <c r="N37" s="18"/>
      <c r="O37" s="18"/>
      <c r="P37" s="18"/>
      <c r="Q37" s="18"/>
      <c r="R37" s="18"/>
      <c r="S37" s="18"/>
      <c r="T37" s="18"/>
      <c r="U37" s="608"/>
      <c r="V37" s="608"/>
      <c r="W37" s="18"/>
      <c r="X37" s="18"/>
      <c r="Y37" s="18"/>
    </row>
    <row r="38" spans="1:25" s="240" customFormat="1" ht="12.75" customHeight="1">
      <c r="A38" s="995" t="s">
        <v>136</v>
      </c>
      <c r="B38" s="996"/>
      <c r="C38" s="996"/>
      <c r="D38" s="996"/>
      <c r="E38" s="592"/>
      <c r="F38" s="587">
        <f>(75434.08*4+60189.08*8)/12</f>
        <v>65270.746666666666</v>
      </c>
      <c r="G38" s="587">
        <f>F38*12</f>
        <v>783248.96</v>
      </c>
      <c r="H38" s="587">
        <f>(75434.08*4+60189.08*8)/12</f>
        <v>65270.746666666666</v>
      </c>
      <c r="I38" s="666">
        <f>H38*12</f>
        <v>783248.96</v>
      </c>
      <c r="J38" s="266"/>
      <c r="K38" s="266"/>
      <c r="L38" s="266"/>
      <c r="M38" s="266"/>
      <c r="N38" s="18"/>
      <c r="O38" s="18"/>
      <c r="P38" s="18"/>
      <c r="Q38" s="18"/>
      <c r="R38" s="18"/>
      <c r="S38" s="18"/>
      <c r="T38" s="18"/>
      <c r="U38" s="608"/>
      <c r="V38" s="608"/>
      <c r="W38" s="18"/>
      <c r="X38" s="18"/>
      <c r="Y38" s="18"/>
    </row>
    <row r="39" spans="1:25" s="240" customFormat="1" ht="12.75" customHeight="1">
      <c r="A39" s="995" t="s">
        <v>137</v>
      </c>
      <c r="B39" s="996"/>
      <c r="C39" s="996"/>
      <c r="D39" s="996"/>
      <c r="E39" s="592"/>
      <c r="F39" s="587">
        <v>13200</v>
      </c>
      <c r="G39" s="587">
        <f>F39*12</f>
        <v>158400</v>
      </c>
      <c r="H39" s="587">
        <f>13200-2000</f>
        <v>11200</v>
      </c>
      <c r="I39" s="666">
        <f>H39*12</f>
        <v>134400</v>
      </c>
      <c r="J39" s="283"/>
      <c r="K39" s="283">
        <f>I18+I26</f>
        <v>17029549.859246038</v>
      </c>
      <c r="L39" s="283"/>
      <c r="M39" s="283"/>
      <c r="N39" s="288"/>
      <c r="O39" s="288"/>
      <c r="P39" s="18"/>
      <c r="Q39" s="18"/>
      <c r="R39" s="18"/>
      <c r="S39" s="18"/>
      <c r="T39" s="18"/>
      <c r="U39" s="608"/>
      <c r="V39" s="608"/>
      <c r="W39" s="18"/>
      <c r="X39" s="18"/>
      <c r="Y39" s="18"/>
    </row>
    <row r="40" spans="1:25" s="240" customFormat="1" ht="12.75" customHeight="1">
      <c r="A40" s="995" t="s">
        <v>138</v>
      </c>
      <c r="B40" s="996"/>
      <c r="C40" s="996"/>
      <c r="D40" s="996"/>
      <c r="E40" s="592"/>
      <c r="F40" s="587">
        <v>2500</v>
      </c>
      <c r="G40" s="587">
        <f>F40*12</f>
        <v>30000</v>
      </c>
      <c r="H40" s="587">
        <v>2500</v>
      </c>
      <c r="I40" s="666">
        <f>H40*12</f>
        <v>30000</v>
      </c>
      <c r="J40" s="283"/>
      <c r="K40" s="283"/>
      <c r="L40" s="283"/>
      <c r="M40" s="283"/>
      <c r="N40" s="18"/>
      <c r="O40" s="18"/>
      <c r="P40" s="18"/>
      <c r="Q40" s="18"/>
      <c r="R40" s="18"/>
      <c r="S40" s="18"/>
      <c r="T40" s="18"/>
      <c r="U40" s="608"/>
      <c r="V40" s="608"/>
      <c r="W40" s="18"/>
      <c r="X40" s="18"/>
      <c r="Y40" s="18"/>
    </row>
    <row r="41" spans="1:25" s="240" customFormat="1" ht="12.75" customHeight="1">
      <c r="A41" s="665"/>
      <c r="B41" s="586"/>
      <c r="C41" s="586"/>
      <c r="D41" s="586"/>
      <c r="E41" s="592"/>
      <c r="F41" s="581">
        <f>SUM(F37:F40)</f>
        <v>87470.74666666667</v>
      </c>
      <c r="G41" s="581">
        <f>SUM(G37:G40)</f>
        <v>1049648.96</v>
      </c>
      <c r="H41" s="581">
        <f>SUM(H37:H40)</f>
        <v>85470.74666666667</v>
      </c>
      <c r="I41" s="674">
        <f>SUM(I37:I40)</f>
        <v>1025648.96</v>
      </c>
      <c r="J41" s="283"/>
      <c r="K41" s="283"/>
      <c r="L41" s="283"/>
      <c r="M41" s="283"/>
      <c r="N41" s="18"/>
      <c r="O41" s="18"/>
      <c r="P41" s="18"/>
      <c r="Q41" s="18"/>
      <c r="R41" s="18"/>
      <c r="S41" s="18"/>
      <c r="T41" s="18"/>
      <c r="U41" s="608"/>
      <c r="V41" s="608"/>
      <c r="W41" s="18"/>
      <c r="X41" s="18"/>
      <c r="Y41" s="18"/>
    </row>
    <row r="42" spans="1:25" s="240" customFormat="1" ht="12.75" customHeight="1">
      <c r="A42" s="997" t="s">
        <v>298</v>
      </c>
      <c r="B42" s="998"/>
      <c r="C42" s="998"/>
      <c r="D42" s="998"/>
      <c r="E42" s="593"/>
      <c r="F42" s="593"/>
      <c r="G42" s="593"/>
      <c r="H42" s="593"/>
      <c r="I42" s="675"/>
      <c r="J42" s="283"/>
      <c r="K42" s="283"/>
      <c r="L42" s="283"/>
      <c r="M42" s="283"/>
      <c r="N42" s="18"/>
      <c r="O42" s="18"/>
      <c r="P42" s="18"/>
      <c r="Q42" s="18"/>
      <c r="R42" s="18"/>
      <c r="S42" s="18"/>
      <c r="T42" s="18"/>
      <c r="U42" s="608"/>
      <c r="V42" s="608"/>
      <c r="W42" s="18"/>
      <c r="X42" s="18"/>
      <c r="Y42" s="18"/>
    </row>
    <row r="43" spans="1:25" s="240" customFormat="1" ht="12.75" customHeight="1">
      <c r="A43" s="665" t="s">
        <v>338</v>
      </c>
      <c r="B43" s="593"/>
      <c r="C43" s="593"/>
      <c r="D43" s="593"/>
      <c r="E43" s="593"/>
      <c r="F43" s="593"/>
      <c r="G43" s="605">
        <v>99981.57</v>
      </c>
      <c r="H43" s="593"/>
      <c r="I43" s="676"/>
      <c r="J43" s="266"/>
      <c r="K43" s="266"/>
      <c r="L43" s="266"/>
      <c r="M43" s="266"/>
      <c r="N43" s="288">
        <v>1220000</v>
      </c>
      <c r="O43" s="288"/>
      <c r="P43" s="18" t="s">
        <v>297</v>
      </c>
      <c r="Q43" s="18"/>
      <c r="R43" s="18"/>
      <c r="S43" s="18"/>
      <c r="T43" s="18"/>
      <c r="U43" s="608"/>
      <c r="V43" s="608"/>
      <c r="W43" s="18"/>
      <c r="X43" s="18"/>
      <c r="Y43" s="18"/>
    </row>
    <row r="44" spans="1:23" ht="12.75" customHeight="1">
      <c r="A44" s="665" t="s">
        <v>299</v>
      </c>
      <c r="B44" s="593"/>
      <c r="C44" s="593"/>
      <c r="D44" s="593"/>
      <c r="E44" s="593"/>
      <c r="F44" s="593"/>
      <c r="G44" s="605">
        <v>475930.86</v>
      </c>
      <c r="H44" s="593"/>
      <c r="I44" s="677">
        <f>G44-'[5]правлен'!$C$27+'[5]правлен'!$C$28+'[5]правлен'!$C$29</f>
        <v>442320.86</v>
      </c>
      <c r="J44" s="651"/>
      <c r="K44" s="651"/>
      <c r="L44" s="651"/>
      <c r="M44" s="651"/>
      <c r="U44" s="608"/>
      <c r="W44" s="18"/>
    </row>
    <row r="45" spans="1:23" ht="12.75" customHeight="1">
      <c r="A45" s="665" t="s">
        <v>300</v>
      </c>
      <c r="B45" s="593"/>
      <c r="C45" s="593"/>
      <c r="D45" s="593"/>
      <c r="E45" s="593"/>
      <c r="F45" s="593"/>
      <c r="G45" s="605">
        <v>643232.28</v>
      </c>
      <c r="H45" s="593"/>
      <c r="I45" s="678">
        <v>300500</v>
      </c>
      <c r="J45" s="640"/>
      <c r="K45" s="640"/>
      <c r="L45" s="640"/>
      <c r="M45" s="640"/>
      <c r="U45" s="608"/>
      <c r="W45" s="18"/>
    </row>
    <row r="46" spans="1:23" ht="12.75" customHeight="1" thickBot="1">
      <c r="A46" s="679" t="s">
        <v>154</v>
      </c>
      <c r="B46" s="680"/>
      <c r="C46" s="680"/>
      <c r="D46" s="680"/>
      <c r="E46" s="681"/>
      <c r="F46" s="681"/>
      <c r="G46" s="682">
        <f>SUM(G43:G45)</f>
        <v>1219144.71</v>
      </c>
      <c r="H46" s="681"/>
      <c r="I46" s="683">
        <f>SUM(I43:I45)</f>
        <v>742820.86</v>
      </c>
      <c r="J46" s="640"/>
      <c r="K46" s="640"/>
      <c r="L46" s="640"/>
      <c r="M46" s="640"/>
      <c r="U46" s="608"/>
      <c r="W46" s="18"/>
    </row>
    <row r="47" spans="1:23" ht="18.75" customHeight="1" thickBot="1">
      <c r="A47" s="689"/>
      <c r="B47" s="690"/>
      <c r="C47" s="690"/>
      <c r="D47" s="690"/>
      <c r="E47" s="691"/>
      <c r="F47" s="684" t="s">
        <v>279</v>
      </c>
      <c r="G47" s="692">
        <f>G18+G26+G30+G35+G41+G46</f>
        <v>20459647.450190395</v>
      </c>
      <c r="H47" s="993">
        <f>I46+I41+I34+I30+I27+I26+I19+I18</f>
        <v>22350417.59486748</v>
      </c>
      <c r="I47" s="994"/>
      <c r="J47" s="640"/>
      <c r="K47" s="640"/>
      <c r="L47" s="640"/>
      <c r="M47" s="640"/>
      <c r="U47" s="608"/>
      <c r="W47" s="18"/>
    </row>
    <row r="48" spans="1:23" ht="12.75" customHeight="1" thickBot="1">
      <c r="A48" s="697"/>
      <c r="B48" s="662"/>
      <c r="C48" s="662" t="s">
        <v>333</v>
      </c>
      <c r="D48" s="662" t="s">
        <v>334</v>
      </c>
      <c r="E48" s="663" t="s">
        <v>384</v>
      </c>
      <c r="F48" s="991" t="s">
        <v>430</v>
      </c>
      <c r="G48" s="991"/>
      <c r="H48" s="991"/>
      <c r="I48" s="991"/>
      <c r="J48" s="652"/>
      <c r="K48" s="652"/>
      <c r="S48" s="608"/>
      <c r="T48" s="608"/>
      <c r="V48" s="18"/>
      <c r="W48" s="18"/>
    </row>
    <row r="49" spans="1:23" ht="12.75" customHeight="1" thickBot="1">
      <c r="A49" s="698" t="s">
        <v>280</v>
      </c>
      <c r="B49" s="586" t="s">
        <v>281</v>
      </c>
      <c r="C49" s="688">
        <v>12.63</v>
      </c>
      <c r="D49" s="607">
        <f>R18</f>
        <v>12.690075101996062</v>
      </c>
      <c r="E49" s="796">
        <f>R19</f>
        <v>12.719083290461498</v>
      </c>
      <c r="F49" s="992"/>
      <c r="G49" s="992"/>
      <c r="H49" s="992"/>
      <c r="I49" s="992"/>
      <c r="K49" s="613"/>
      <c r="L49" s="613"/>
      <c r="M49" s="653"/>
      <c r="N49" s="654"/>
      <c r="S49" s="608"/>
      <c r="T49" s="608"/>
      <c r="U49" s="608"/>
      <c r="V49" s="18"/>
      <c r="W49" s="18"/>
    </row>
    <row r="50" spans="1:23" ht="12.75" customHeight="1">
      <c r="A50" s="698" t="s">
        <v>282</v>
      </c>
      <c r="B50" s="586" t="s">
        <v>281</v>
      </c>
      <c r="C50" s="688">
        <v>12.52</v>
      </c>
      <c r="D50" s="607">
        <f>S18</f>
        <v>12.591926603191983</v>
      </c>
      <c r="E50" s="796">
        <f>S19+0.01</f>
        <v>12.63482178050212</v>
      </c>
      <c r="F50" s="992"/>
      <c r="G50" s="992"/>
      <c r="H50" s="992"/>
      <c r="I50" s="992"/>
      <c r="J50" s="322"/>
      <c r="K50" s="322"/>
      <c r="L50" s="655"/>
      <c r="M50" s="654"/>
      <c r="N50" s="654"/>
      <c r="T50" s="608"/>
      <c r="U50" s="608"/>
      <c r="V50" s="18"/>
      <c r="W50" s="18"/>
    </row>
    <row r="51" spans="1:23" ht="12.75" customHeight="1">
      <c r="A51" s="699" t="s">
        <v>283</v>
      </c>
      <c r="B51" s="586" t="s">
        <v>281</v>
      </c>
      <c r="C51" s="688">
        <v>13.89</v>
      </c>
      <c r="D51" s="607">
        <f>T18</f>
        <v>14.024170516252735</v>
      </c>
      <c r="E51" s="796">
        <f>T19</f>
        <v>14.000344335816289</v>
      </c>
      <c r="F51" s="992"/>
      <c r="G51" s="992"/>
      <c r="H51" s="992"/>
      <c r="I51" s="992"/>
      <c r="T51" s="608"/>
      <c r="U51" s="608"/>
      <c r="V51" s="18"/>
      <c r="W51" s="18"/>
    </row>
    <row r="52" spans="1:23" ht="12.75" customHeight="1">
      <c r="A52" s="698" t="s">
        <v>284</v>
      </c>
      <c r="B52" s="586" t="s">
        <v>281</v>
      </c>
      <c r="C52" s="688">
        <v>13.9</v>
      </c>
      <c r="D52" s="606">
        <f>U18</f>
        <v>14.036202870284228</v>
      </c>
      <c r="E52" s="796">
        <f>U19</f>
        <v>14.011900170833576</v>
      </c>
      <c r="F52" s="992"/>
      <c r="G52" s="992"/>
      <c r="H52" s="992"/>
      <c r="I52" s="992"/>
      <c r="T52" s="608"/>
      <c r="U52" s="608"/>
      <c r="V52" s="18"/>
      <c r="W52" s="18"/>
    </row>
    <row r="53" spans="1:23" ht="12.75" customHeight="1" thickBot="1">
      <c r="A53" s="700" t="s">
        <v>286</v>
      </c>
      <c r="B53" s="695" t="s">
        <v>281</v>
      </c>
      <c r="C53" s="702">
        <v>13.92</v>
      </c>
      <c r="D53" s="703">
        <f>W18</f>
        <v>14.057457675608795</v>
      </c>
      <c r="E53" s="797">
        <f>W19</f>
        <v>14.032313219104296</v>
      </c>
      <c r="F53" s="992"/>
      <c r="G53" s="992"/>
      <c r="H53" s="992"/>
      <c r="I53" s="992"/>
      <c r="T53" s="608"/>
      <c r="U53" s="608"/>
      <c r="V53" s="18"/>
      <c r="W53" s="18"/>
    </row>
    <row r="54" spans="1:5" ht="12.75" customHeight="1">
      <c r="A54" s="701"/>
      <c r="B54" s="233"/>
      <c r="C54" s="233"/>
      <c r="D54" s="233"/>
      <c r="E54" s="701"/>
    </row>
  </sheetData>
  <sheetProtection/>
  <mergeCells count="18">
    <mergeCell ref="A1:H1"/>
    <mergeCell ref="A2:H2"/>
    <mergeCell ref="A3:H3"/>
    <mergeCell ref="B4:D4"/>
    <mergeCell ref="H4:I4"/>
    <mergeCell ref="A39:D39"/>
    <mergeCell ref="A6:H6"/>
    <mergeCell ref="F28:G28"/>
    <mergeCell ref="H28:I28"/>
    <mergeCell ref="F29:G29"/>
    <mergeCell ref="F4:G4"/>
    <mergeCell ref="F48:I53"/>
    <mergeCell ref="H47:I47"/>
    <mergeCell ref="A37:D37"/>
    <mergeCell ref="A38:D38"/>
    <mergeCell ref="A40:D40"/>
    <mergeCell ref="A42:D42"/>
    <mergeCell ref="H29:I29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28">
      <selection activeCell="L26" sqref="L26"/>
    </sheetView>
  </sheetViews>
  <sheetFormatPr defaultColWidth="8.796875" defaultRowHeight="14.25"/>
  <cols>
    <col min="1" max="1" width="27.09765625" style="461" customWidth="1"/>
    <col min="2" max="2" width="7.8984375" style="357" hidden="1" customWidth="1"/>
    <col min="3" max="3" width="9.3984375" style="357" customWidth="1"/>
    <col min="4" max="4" width="9.3984375" style="48" customWidth="1"/>
    <col min="5" max="5" width="12.8984375" style="48" customWidth="1"/>
    <col min="6" max="6" width="14.09765625" style="48" customWidth="1"/>
    <col min="7" max="8" width="13.3984375" style="48" customWidth="1"/>
    <col min="9" max="9" width="15.5" style="48" customWidth="1"/>
    <col min="10" max="10" width="16.3984375" style="48" customWidth="1"/>
    <col min="11" max="11" width="10.8984375" style="48" customWidth="1"/>
    <col min="12" max="12" width="18.5" style="48" customWidth="1"/>
    <col min="13" max="13" width="13.3984375" style="48" customWidth="1"/>
    <col min="14" max="16384" width="9" style="48" customWidth="1"/>
  </cols>
  <sheetData>
    <row r="1" spans="2:12" s="49" customFormat="1" ht="20.25" customHeight="1" thickBot="1">
      <c r="B1" s="704"/>
      <c r="C1" s="704"/>
      <c r="D1" s="704"/>
      <c r="E1" s="704"/>
      <c r="F1" s="704"/>
      <c r="G1" s="1024" t="s">
        <v>432</v>
      </c>
      <c r="H1" s="1024"/>
      <c r="I1" s="1024"/>
      <c r="J1" s="1024"/>
      <c r="K1" s="48"/>
      <c r="L1" s="48"/>
    </row>
    <row r="2" spans="1:12" s="574" customFormat="1" ht="29.25" customHeight="1">
      <c r="A2" s="577" t="s">
        <v>94</v>
      </c>
      <c r="B2" s="872" t="s">
        <v>95</v>
      </c>
      <c r="C2" s="873"/>
      <c r="D2" s="438" t="s">
        <v>96</v>
      </c>
      <c r="E2" s="1017" t="s">
        <v>426</v>
      </c>
      <c r="F2" s="1018"/>
      <c r="G2" s="573" t="s">
        <v>95</v>
      </c>
      <c r="H2" s="438" t="s">
        <v>96</v>
      </c>
      <c r="I2" s="1017" t="s">
        <v>394</v>
      </c>
      <c r="J2" s="1019"/>
      <c r="K2" s="578"/>
      <c r="L2" s="578"/>
    </row>
    <row r="3" spans="1:12" s="574" customFormat="1" ht="21.75" customHeight="1" thickBot="1">
      <c r="A3" s="579" t="s">
        <v>97</v>
      </c>
      <c r="B3" s="440">
        <v>2017</v>
      </c>
      <c r="C3" s="440">
        <v>2018</v>
      </c>
      <c r="D3" s="441" t="s">
        <v>98</v>
      </c>
      <c r="E3" s="705" t="s">
        <v>99</v>
      </c>
      <c r="F3" s="705" t="s">
        <v>100</v>
      </c>
      <c r="G3" s="705">
        <v>2019</v>
      </c>
      <c r="H3" s="706" t="s">
        <v>98</v>
      </c>
      <c r="I3" s="705" t="s">
        <v>99</v>
      </c>
      <c r="J3" s="707" t="s">
        <v>100</v>
      </c>
      <c r="K3" s="578"/>
      <c r="L3" s="578"/>
    </row>
    <row r="4" spans="1:12" s="49" customFormat="1" ht="14.25" customHeight="1">
      <c r="A4" s="867" t="s">
        <v>101</v>
      </c>
      <c r="B4" s="868"/>
      <c r="C4" s="868"/>
      <c r="D4" s="868"/>
      <c r="E4" s="868"/>
      <c r="F4" s="868"/>
      <c r="G4" s="868"/>
      <c r="H4" s="868"/>
      <c r="I4" s="868"/>
      <c r="J4" s="1020"/>
      <c r="K4" s="48"/>
      <c r="L4" s="48"/>
    </row>
    <row r="5" spans="1:12" s="49" customFormat="1" ht="17.25" customHeight="1">
      <c r="A5" s="708" t="s">
        <v>139</v>
      </c>
      <c r="B5" s="380"/>
      <c r="C5" s="356"/>
      <c r="D5" s="381"/>
      <c r="E5" s="381"/>
      <c r="F5" s="382"/>
      <c r="G5" s="383"/>
      <c r="H5" s="383"/>
      <c r="I5" s="381"/>
      <c r="J5" s="382"/>
      <c r="K5" s="48"/>
      <c r="L5" s="48"/>
    </row>
    <row r="6" spans="1:12" s="49" customFormat="1" ht="16.5">
      <c r="A6" s="447" t="s">
        <v>15</v>
      </c>
      <c r="B6" s="356">
        <v>12.63</v>
      </c>
      <c r="C6" s="384">
        <v>12.69715088664617</v>
      </c>
      <c r="D6" s="385">
        <v>19393</v>
      </c>
      <c r="E6" s="386">
        <f>C6*D6</f>
        <v>246235.8471447292</v>
      </c>
      <c r="F6" s="387">
        <f>E6*12</f>
        <v>2954830.1657367502</v>
      </c>
      <c r="G6" s="580">
        <v>12.72</v>
      </c>
      <c r="H6" s="388">
        <f>'2019_метраж'!B9</f>
        <v>19482.09999887</v>
      </c>
      <c r="I6" s="389">
        <f>G6*H6</f>
        <v>247812.3119856264</v>
      </c>
      <c r="J6" s="390">
        <f>I6*12</f>
        <v>2973747.743827517</v>
      </c>
      <c r="K6" s="48"/>
      <c r="L6" s="48"/>
    </row>
    <row r="7" spans="1:12" s="49" customFormat="1" ht="16.5">
      <c r="A7" s="447" t="s">
        <v>140</v>
      </c>
      <c r="B7" s="356">
        <v>12.52</v>
      </c>
      <c r="C7" s="384">
        <v>12.591950857226454</v>
      </c>
      <c r="D7" s="385">
        <v>17835.3</v>
      </c>
      <c r="E7" s="386">
        <f>C7*D7</f>
        <v>224581.22112389098</v>
      </c>
      <c r="F7" s="387">
        <f>E7*12</f>
        <v>2694974.653486692</v>
      </c>
      <c r="G7" s="580">
        <v>12.63</v>
      </c>
      <c r="H7" s="388">
        <f>'2019_метраж'!B11</f>
        <v>17835.599999</v>
      </c>
      <c r="I7" s="389">
        <f>G7*H7</f>
        <v>225263.62798736998</v>
      </c>
      <c r="J7" s="390">
        <f>I7*12</f>
        <v>2703163.5358484397</v>
      </c>
      <c r="K7" s="48"/>
      <c r="L7" s="48"/>
    </row>
    <row r="8" spans="1:12" s="49" customFormat="1" ht="16.5">
      <c r="A8" s="447" t="s">
        <v>141</v>
      </c>
      <c r="B8" s="356">
        <v>13.89</v>
      </c>
      <c r="C8" s="384">
        <v>14.02419804912843</v>
      </c>
      <c r="D8" s="385">
        <v>20878.1</v>
      </c>
      <c r="E8" s="386">
        <f>C8*D8</f>
        <v>292798.60928950825</v>
      </c>
      <c r="F8" s="387">
        <f>E8*12</f>
        <v>3513583.311474099</v>
      </c>
      <c r="G8" s="580">
        <v>14</v>
      </c>
      <c r="H8" s="388">
        <f>'2019_метраж'!B13</f>
        <v>20878.29999869</v>
      </c>
      <c r="I8" s="389">
        <f>G8*H8</f>
        <v>292296.19998166</v>
      </c>
      <c r="J8" s="390">
        <f>I8*12</f>
        <v>3507554.39977992</v>
      </c>
      <c r="K8" s="48"/>
      <c r="L8" s="48"/>
    </row>
    <row r="9" spans="1:12" s="49" customFormat="1" ht="16.5">
      <c r="A9" s="447" t="s">
        <v>142</v>
      </c>
      <c r="B9" s="356">
        <v>13.9</v>
      </c>
      <c r="C9" s="384">
        <v>14.037097135737842</v>
      </c>
      <c r="D9" s="385">
        <v>14846.3</v>
      </c>
      <c r="E9" s="386">
        <f>C9*D9</f>
        <v>208398.9552063047</v>
      </c>
      <c r="F9" s="387">
        <f>E9*12</f>
        <v>2500787.4624756565</v>
      </c>
      <c r="G9" s="580">
        <v>14.01</v>
      </c>
      <c r="H9" s="388">
        <f>'2019_метраж'!B15</f>
        <v>14850.899999229998</v>
      </c>
      <c r="I9" s="389">
        <f>G9*H9</f>
        <v>208061.10898921225</v>
      </c>
      <c r="J9" s="390">
        <f>I9*12</f>
        <v>2496733.3078705473</v>
      </c>
      <c r="K9" s="48"/>
      <c r="L9" s="48"/>
    </row>
    <row r="10" spans="1:12" s="49" customFormat="1" ht="17.25" thickBot="1">
      <c r="A10" s="448" t="s">
        <v>143</v>
      </c>
      <c r="B10" s="391">
        <v>13.92</v>
      </c>
      <c r="C10" s="392">
        <v>14.058625018954757</v>
      </c>
      <c r="D10" s="393">
        <v>17683.7</v>
      </c>
      <c r="E10" s="394">
        <f>C10*D10</f>
        <v>248608.50724769026</v>
      </c>
      <c r="F10" s="395">
        <f>E10*12</f>
        <v>2983302.086972283</v>
      </c>
      <c r="G10" s="580">
        <v>14.03</v>
      </c>
      <c r="H10" s="388">
        <f>'2019_метраж'!B17</f>
        <v>17690.79999905</v>
      </c>
      <c r="I10" s="389">
        <f>G10*H10</f>
        <v>248201.9239866715</v>
      </c>
      <c r="J10" s="397">
        <f>I10*12</f>
        <v>2978423.087840058</v>
      </c>
      <c r="K10" s="48"/>
      <c r="L10" s="48"/>
    </row>
    <row r="11" spans="1:12" s="49" customFormat="1" ht="17.25" thickBot="1">
      <c r="A11" s="449"/>
      <c r="B11" s="198"/>
      <c r="C11" s="198"/>
      <c r="D11" s="199">
        <f>SUM(D6:D10)</f>
        <v>90636.4</v>
      </c>
      <c r="E11" s="199">
        <f>SUM(E6:E10)</f>
        <v>1220623.1400121234</v>
      </c>
      <c r="F11" s="200">
        <f>SUM(F6:F10)</f>
        <v>14647477.680145482</v>
      </c>
      <c r="G11" s="371"/>
      <c r="H11" s="372">
        <f>SUM(H6:H10)</f>
        <v>90737.69999483999</v>
      </c>
      <c r="I11" s="373">
        <f>SUM(I6:I10)</f>
        <v>1221635.17293054</v>
      </c>
      <c r="J11" s="374">
        <f>SUM(J6:J10)</f>
        <v>14659622.075166482</v>
      </c>
      <c r="K11" s="48"/>
      <c r="L11" s="48"/>
    </row>
    <row r="12" spans="1:12" s="49" customFormat="1" ht="15" customHeight="1">
      <c r="A12" s="709" t="s">
        <v>144</v>
      </c>
      <c r="B12" s="398"/>
      <c r="C12" s="399"/>
      <c r="D12" s="400"/>
      <c r="E12" s="401"/>
      <c r="F12" s="402"/>
      <c r="G12" s="403"/>
      <c r="H12" s="404"/>
      <c r="I12" s="405"/>
      <c r="J12" s="406"/>
      <c r="K12" s="48"/>
      <c r="L12" s="48"/>
    </row>
    <row r="13" spans="1:12" s="49" customFormat="1" ht="16.5">
      <c r="A13" s="447" t="s">
        <v>15</v>
      </c>
      <c r="B13" s="407">
        <v>13.23</v>
      </c>
      <c r="C13" s="407">
        <v>13.270000000000001</v>
      </c>
      <c r="D13" s="408">
        <v>4285.5</v>
      </c>
      <c r="E13" s="386">
        <f>C13*D13</f>
        <v>56868.58500000001</v>
      </c>
      <c r="F13" s="387">
        <f>E13*12</f>
        <v>682423.02</v>
      </c>
      <c r="G13" s="388">
        <v>14.39</v>
      </c>
      <c r="H13" s="388">
        <f>'2019_метраж'!C9</f>
        <v>4291.249999919999</v>
      </c>
      <c r="I13" s="389">
        <f>G13*H13</f>
        <v>61751.087498848785</v>
      </c>
      <c r="J13" s="390">
        <f>I13*12</f>
        <v>741013.0499861854</v>
      </c>
      <c r="K13" s="48"/>
      <c r="L13" s="48"/>
    </row>
    <row r="14" spans="1:12" s="49" customFormat="1" ht="16.5">
      <c r="A14" s="447" t="s">
        <v>140</v>
      </c>
      <c r="B14" s="409">
        <v>13.23</v>
      </c>
      <c r="C14" s="407">
        <v>13.270000000000001</v>
      </c>
      <c r="D14" s="385">
        <v>3652.6</v>
      </c>
      <c r="E14" s="386">
        <f>C14*D14</f>
        <v>48470.002</v>
      </c>
      <c r="F14" s="387">
        <f>E14*12</f>
        <v>581640.024</v>
      </c>
      <c r="G14" s="388">
        <v>14.39</v>
      </c>
      <c r="H14" s="388">
        <f>'2019_метраж'!C11</f>
        <v>3618.5999999399996</v>
      </c>
      <c r="I14" s="389">
        <f>G14*H14</f>
        <v>52071.65399913659</v>
      </c>
      <c r="J14" s="390">
        <f>I14*12</f>
        <v>624859.8479896392</v>
      </c>
      <c r="K14" s="48"/>
      <c r="L14" s="48"/>
    </row>
    <row r="15" spans="1:12" s="49" customFormat="1" ht="16.5">
      <c r="A15" s="447" t="s">
        <v>141</v>
      </c>
      <c r="B15" s="409">
        <v>13.23</v>
      </c>
      <c r="C15" s="407">
        <v>13.270000000000001</v>
      </c>
      <c r="D15" s="385">
        <v>4621.8</v>
      </c>
      <c r="E15" s="386">
        <f>C15*D15</f>
        <v>61331.28600000001</v>
      </c>
      <c r="F15" s="387">
        <f>E15*12</f>
        <v>735975.432</v>
      </c>
      <c r="G15" s="388">
        <v>14.39</v>
      </c>
      <c r="H15" s="388">
        <f>'2019_метраж'!C13</f>
        <v>4619.799999920001</v>
      </c>
      <c r="I15" s="410">
        <f>G15*H15</f>
        <v>66478.92199884882</v>
      </c>
      <c r="J15" s="397">
        <f>I15*12</f>
        <v>797747.0639861858</v>
      </c>
      <c r="K15" s="48"/>
      <c r="L15" s="48"/>
    </row>
    <row r="16" spans="1:12" s="49" customFormat="1" ht="16.5">
      <c r="A16" s="447" t="s">
        <v>142</v>
      </c>
      <c r="B16" s="409">
        <v>13.23</v>
      </c>
      <c r="C16" s="407">
        <v>13.270000000000001</v>
      </c>
      <c r="D16" s="385">
        <v>1609.3</v>
      </c>
      <c r="E16" s="386">
        <f>C16*D16</f>
        <v>21355.411</v>
      </c>
      <c r="F16" s="387">
        <f>E16*12</f>
        <v>256264.932</v>
      </c>
      <c r="G16" s="388">
        <v>14.39</v>
      </c>
      <c r="H16" s="388">
        <f>'2019_метраж'!C15</f>
        <v>1609.2999999400001</v>
      </c>
      <c r="I16" s="411">
        <f>G16*H16</f>
        <v>23157.826999136603</v>
      </c>
      <c r="J16" s="739">
        <f>I16*12</f>
        <v>277893.92398963927</v>
      </c>
      <c r="K16" s="48"/>
      <c r="L16" s="48"/>
    </row>
    <row r="17" spans="1:12" s="49" customFormat="1" ht="17.25" thickBot="1">
      <c r="A17" s="447" t="s">
        <v>143</v>
      </c>
      <c r="B17" s="412">
        <v>13.23</v>
      </c>
      <c r="C17" s="407">
        <v>13.270000000000001</v>
      </c>
      <c r="D17" s="385">
        <v>2728.9</v>
      </c>
      <c r="E17" s="386">
        <f>C17*D17</f>
        <v>36212.503000000004</v>
      </c>
      <c r="F17" s="387">
        <f>E17*12</f>
        <v>434550.0360000001</v>
      </c>
      <c r="G17" s="388">
        <v>14.39</v>
      </c>
      <c r="H17" s="388">
        <f>'2019_метраж'!C17</f>
        <v>2728.89999994</v>
      </c>
      <c r="I17" s="411">
        <f>G17*H17</f>
        <v>39268.8709991366</v>
      </c>
      <c r="J17" s="739">
        <f>I17*12</f>
        <v>471226.4519896392</v>
      </c>
      <c r="K17" s="48"/>
      <c r="L17" s="48"/>
    </row>
    <row r="18" spans="1:12" s="49" customFormat="1" ht="17.25" thickBot="1">
      <c r="A18" s="451"/>
      <c r="B18" s="413"/>
      <c r="C18" s="201"/>
      <c r="D18" s="199">
        <f>SUM(D13:D17)</f>
        <v>16898.100000000002</v>
      </c>
      <c r="E18" s="199">
        <f aca="true" t="shared" si="0" ref="E18:J18">SUM(E13:E17)</f>
        <v>224237.787</v>
      </c>
      <c r="F18" s="199">
        <f t="shared" si="0"/>
        <v>2690853.444</v>
      </c>
      <c r="G18" s="199"/>
      <c r="H18" s="199">
        <f t="shared" si="0"/>
        <v>16867.849999659997</v>
      </c>
      <c r="I18" s="199">
        <f t="shared" si="0"/>
        <v>242728.36149510738</v>
      </c>
      <c r="J18" s="200">
        <f t="shared" si="0"/>
        <v>2912740.3379412885</v>
      </c>
      <c r="K18" s="48"/>
      <c r="L18" s="51">
        <f>J11+J18</f>
        <v>17572362.41310777</v>
      </c>
    </row>
    <row r="19" spans="1:12" s="49" customFormat="1" ht="29.25" customHeight="1">
      <c r="A19" s="740" t="s">
        <v>127</v>
      </c>
      <c r="B19" s="414"/>
      <c r="C19" s="874"/>
      <c r="D19" s="874"/>
      <c r="E19" s="869" t="s">
        <v>343</v>
      </c>
      <c r="F19" s="869"/>
      <c r="G19" s="1021" t="s">
        <v>427</v>
      </c>
      <c r="H19" s="1022"/>
      <c r="I19" s="1022"/>
      <c r="J19" s="1023"/>
      <c r="K19" s="48"/>
      <c r="L19" s="48"/>
    </row>
    <row r="20" spans="1:12" s="49" customFormat="1" ht="17.25" thickBot="1">
      <c r="A20" s="453"/>
      <c r="B20" s="415"/>
      <c r="C20" s="875"/>
      <c r="D20" s="875"/>
      <c r="E20" s="416" t="s">
        <v>99</v>
      </c>
      <c r="F20" s="417" t="s">
        <v>100</v>
      </c>
      <c r="G20" s="418"/>
      <c r="H20" s="418"/>
      <c r="I20" s="416" t="s">
        <v>99</v>
      </c>
      <c r="J20" s="417" t="s">
        <v>100</v>
      </c>
      <c r="K20" s="48"/>
      <c r="L20" s="48"/>
    </row>
    <row r="21" spans="1:12" s="49" customFormat="1" ht="16.5">
      <c r="A21" s="454" t="s">
        <v>129</v>
      </c>
      <c r="B21" s="379"/>
      <c r="C21" s="863"/>
      <c r="D21" s="863"/>
      <c r="E21" s="419">
        <f>1.025*('[1]Анализ_объемов'!$F$27*'[1]Анализ_объемов'!$F$28+'[1]Анализ_объемов'!$H$27*'[1]Анализ_объемов'!$H$28)/12</f>
        <v>151979.40723993455</v>
      </c>
      <c r="F21" s="420">
        <f>E21*12</f>
        <v>1823752.8868792146</v>
      </c>
      <c r="G21" s="421"/>
      <c r="H21" s="421"/>
      <c r="I21" s="419">
        <f>'2019_стр 3'!H30</f>
        <v>221802.76463908135</v>
      </c>
      <c r="J21" s="420">
        <f>I21*12</f>
        <v>2661633.1756689763</v>
      </c>
      <c r="K21" s="48"/>
      <c r="L21" s="48"/>
    </row>
    <row r="22" spans="1:13" s="49" customFormat="1" ht="18" thickBot="1">
      <c r="A22" s="455" t="s">
        <v>131</v>
      </c>
      <c r="B22" s="422"/>
      <c r="C22" s="871"/>
      <c r="D22" s="871"/>
      <c r="E22" s="423"/>
      <c r="F22" s="424"/>
      <c r="G22" s="425"/>
      <c r="H22" s="425"/>
      <c r="I22" s="423"/>
      <c r="J22" s="424"/>
      <c r="K22" s="48" t="s">
        <v>340</v>
      </c>
      <c r="L22" s="48" t="s">
        <v>341</v>
      </c>
      <c r="M22" s="49" t="s">
        <v>342</v>
      </c>
    </row>
    <row r="23" spans="1:14" s="49" customFormat="1" ht="17.25" thickBot="1">
      <c r="A23" s="456" t="s">
        <v>132</v>
      </c>
      <c r="B23" s="202"/>
      <c r="C23" s="736">
        <v>0.32</v>
      </c>
      <c r="D23" s="203">
        <f>D11</f>
        <v>90636.4</v>
      </c>
      <c r="E23" s="426">
        <f>См_доход!F33</f>
        <v>28699.65</v>
      </c>
      <c r="F23" s="427">
        <f>E23*12</f>
        <v>344395.80000000005</v>
      </c>
      <c r="G23" s="428">
        <v>0.32</v>
      </c>
      <c r="H23" s="428">
        <f>H11</f>
        <v>90737.69999483999</v>
      </c>
      <c r="I23" s="426">
        <f>'2019_стр 3'!H34</f>
        <v>29036.063998348796</v>
      </c>
      <c r="J23" s="427">
        <f>I23*12</f>
        <v>348432.76798018557</v>
      </c>
      <c r="K23" s="48">
        <f>8*C23*D23</f>
        <v>232029.18399999998</v>
      </c>
      <c r="L23" s="429">
        <f>(F23-K23)/4/D23</f>
        <v>0.3099378836758744</v>
      </c>
      <c r="M23" s="430">
        <f>C23*D23*12-F23</f>
        <v>3647.975999999908</v>
      </c>
      <c r="N23" s="49" t="s">
        <v>445</v>
      </c>
    </row>
    <row r="24" spans="1:12" s="49" customFormat="1" ht="17.25">
      <c r="A24" s="741" t="s">
        <v>146</v>
      </c>
      <c r="B24" s="431"/>
      <c r="C24" s="194"/>
      <c r="D24" s="195"/>
      <c r="E24" s="195"/>
      <c r="F24" s="196"/>
      <c r="G24" s="195"/>
      <c r="H24" s="195"/>
      <c r="I24" s="195"/>
      <c r="J24" s="742"/>
      <c r="K24" s="51">
        <f>I23-'2019_стр 3'!H33</f>
        <v>-154.9360016512037</v>
      </c>
      <c r="L24" s="737">
        <f>K24*12</f>
        <v>-1859.2320198144444</v>
      </c>
    </row>
    <row r="25" spans="1:12" s="49" customFormat="1" ht="21.75" customHeight="1">
      <c r="A25" s="1008" t="str">
        <f>См_доход!A37</f>
        <v>Аренда подсобного помещения</v>
      </c>
      <c r="B25" s="1009"/>
      <c r="C25" s="1009"/>
      <c r="D25" s="1010"/>
      <c r="E25" s="386">
        <f>См_доход!F37</f>
        <v>6500</v>
      </c>
      <c r="F25" s="386">
        <f>E25*12</f>
        <v>78000</v>
      </c>
      <c r="G25" s="386"/>
      <c r="H25" s="386"/>
      <c r="I25" s="386">
        <f>См_доход!H37</f>
        <v>6500</v>
      </c>
      <c r="J25" s="387">
        <f>I25*12</f>
        <v>78000</v>
      </c>
      <c r="K25" s="48"/>
      <c r="L25" s="48"/>
    </row>
    <row r="26" spans="1:12" s="49" customFormat="1" ht="21.75" customHeight="1">
      <c r="A26" s="1008" t="str">
        <f>См_доход!A38</f>
        <v>Размещение оборудования</v>
      </c>
      <c r="B26" s="1009"/>
      <c r="C26" s="1009"/>
      <c r="D26" s="1010"/>
      <c r="E26" s="386">
        <f>См_доход!F38</f>
        <v>65270.746666666666</v>
      </c>
      <c r="F26" s="432">
        <f>E26*12</f>
        <v>783248.96</v>
      </c>
      <c r="G26" s="432"/>
      <c r="H26" s="432"/>
      <c r="I26" s="386">
        <f>См_доход!H38</f>
        <v>65270.746666666666</v>
      </c>
      <c r="J26" s="387">
        <f>I26*12</f>
        <v>783248.96</v>
      </c>
      <c r="K26" s="738"/>
      <c r="L26" s="48"/>
    </row>
    <row r="27" spans="1:12" s="49" customFormat="1" ht="21.75" customHeight="1">
      <c r="A27" s="1008" t="str">
        <f>См_доход!A39</f>
        <v>Размещение вытяжных труб и рекламы на фасадах</v>
      </c>
      <c r="B27" s="1009"/>
      <c r="C27" s="1009"/>
      <c r="D27" s="1010"/>
      <c r="E27" s="386">
        <f>См_доход!F39</f>
        <v>13200</v>
      </c>
      <c r="F27" s="386">
        <f>E27*12</f>
        <v>158400</v>
      </c>
      <c r="G27" s="386"/>
      <c r="H27" s="386"/>
      <c r="I27" s="386">
        <f>См_доход!H39</f>
        <v>11200</v>
      </c>
      <c r="J27" s="387">
        <f>I27*12</f>
        <v>134400</v>
      </c>
      <c r="K27" s="48"/>
      <c r="L27" s="48"/>
    </row>
    <row r="28" spans="1:12" s="49" customFormat="1" ht="21.75" customHeight="1">
      <c r="A28" s="1008" t="str">
        <f>См_доход!A40</f>
        <v>Техобслуживание оборудования</v>
      </c>
      <c r="B28" s="1009"/>
      <c r="C28" s="1009"/>
      <c r="D28" s="1010"/>
      <c r="E28" s="386">
        <f>См_доход!F40</f>
        <v>2500</v>
      </c>
      <c r="F28" s="386">
        <f>E28*12</f>
        <v>30000</v>
      </c>
      <c r="G28" s="386"/>
      <c r="H28" s="386"/>
      <c r="I28" s="386">
        <f>См_доход!H40</f>
        <v>2500</v>
      </c>
      <c r="J28" s="387">
        <f>I28*12</f>
        <v>30000</v>
      </c>
      <c r="K28" s="48"/>
      <c r="L28" s="48"/>
    </row>
    <row r="29" spans="1:12" s="49" customFormat="1" ht="21.75" customHeight="1">
      <c r="A29" s="1014"/>
      <c r="B29" s="1015"/>
      <c r="C29" s="1015"/>
      <c r="D29" s="1016"/>
      <c r="E29" s="433">
        <f>SUM(E25:E28)</f>
        <v>87470.74666666667</v>
      </c>
      <c r="F29" s="433">
        <f>SUM(F25:F28)</f>
        <v>1049648.96</v>
      </c>
      <c r="G29" s="433"/>
      <c r="H29" s="433"/>
      <c r="I29" s="433">
        <f>SUM(I25:I28)</f>
        <v>85470.74666666667</v>
      </c>
      <c r="J29" s="743">
        <f>SUM(J25:J28)</f>
        <v>1025648.96</v>
      </c>
      <c r="K29" s="48"/>
      <c r="L29" s="48"/>
    </row>
    <row r="30" spans="1:12" s="49" customFormat="1" ht="21.75" customHeight="1" thickBot="1">
      <c r="A30" s="1011" t="s">
        <v>294</v>
      </c>
      <c r="B30" s="1012"/>
      <c r="C30" s="1012"/>
      <c r="D30" s="1013"/>
      <c r="E30" s="744"/>
      <c r="F30" s="745">
        <f>См_доход!G46</f>
        <v>1219144.71</v>
      </c>
      <c r="G30" s="745"/>
      <c r="H30" s="745"/>
      <c r="I30" s="744"/>
      <c r="J30" s="746">
        <f>'2019_стр 3'!I46</f>
        <v>742820.86</v>
      </c>
      <c r="K30" s="51"/>
      <c r="L30" s="51"/>
    </row>
    <row r="31" spans="1:12" s="49" customFormat="1" ht="18.75">
      <c r="A31" s="460"/>
      <c r="B31" s="341"/>
      <c r="C31" s="197"/>
      <c r="D31" s="197"/>
      <c r="E31" s="436"/>
      <c r="F31" s="437">
        <f>F11+F18+F21+F23+F29+F30</f>
        <v>21775273.481024697</v>
      </c>
      <c r="G31" s="436"/>
      <c r="H31" s="436"/>
      <c r="I31" s="436"/>
      <c r="J31" s="583">
        <f>J11+J18+J21+J23+J29+J30</f>
        <v>22350898.176756933</v>
      </c>
      <c r="K31" s="51"/>
      <c r="L31" s="51"/>
    </row>
    <row r="32" ht="16.5">
      <c r="L32" s="51"/>
    </row>
    <row r="33" spans="7:12" ht="18.75">
      <c r="G33" s="437"/>
      <c r="H33" s="437"/>
      <c r="L33" s="51"/>
    </row>
  </sheetData>
  <sheetProtection/>
  <mergeCells count="17">
    <mergeCell ref="A27:D27"/>
    <mergeCell ref="A26:D26"/>
    <mergeCell ref="G19:J19"/>
    <mergeCell ref="G1:J1"/>
    <mergeCell ref="C20:D20"/>
    <mergeCell ref="C21:D21"/>
    <mergeCell ref="C22:D22"/>
    <mergeCell ref="A28:D28"/>
    <mergeCell ref="A30:D30"/>
    <mergeCell ref="A29:D29"/>
    <mergeCell ref="B2:C2"/>
    <mergeCell ref="E2:F2"/>
    <mergeCell ref="I2:J2"/>
    <mergeCell ref="A4:J4"/>
    <mergeCell ref="C19:D19"/>
    <mergeCell ref="E19:F19"/>
    <mergeCell ref="A25:D25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9">
      <selection activeCell="H35" sqref="H35"/>
    </sheetView>
  </sheetViews>
  <sheetFormatPr defaultColWidth="8.796875" defaultRowHeight="14.25"/>
  <cols>
    <col min="1" max="1" width="52" style="47" customWidth="1"/>
    <col min="2" max="2" width="8.5" style="568" customWidth="1"/>
    <col min="3" max="3" width="11.59765625" style="568" customWidth="1"/>
    <col min="4" max="4" width="8.59765625" style="568" customWidth="1"/>
    <col min="5" max="5" width="11.8984375" style="568" customWidth="1"/>
    <col min="6" max="6" width="13.69921875" style="47" customWidth="1"/>
    <col min="7" max="7" width="16.69921875" style="47" customWidth="1"/>
    <col min="8" max="8" width="12.3984375" style="47" customWidth="1"/>
    <col min="9" max="9" width="12.19921875" style="47" customWidth="1"/>
    <col min="10" max="10" width="10.69921875" style="47" customWidth="1"/>
    <col min="11" max="11" width="9" style="47" customWidth="1"/>
    <col min="12" max="16384" width="9" style="47" customWidth="1"/>
  </cols>
  <sheetData>
    <row r="1" spans="1:6" ht="16.5">
      <c r="A1" s="881" t="s">
        <v>347</v>
      </c>
      <c r="B1" s="881"/>
      <c r="C1" s="881"/>
      <c r="D1" s="572"/>
      <c r="E1" s="572"/>
      <c r="F1" s="570"/>
    </row>
    <row r="2" spans="2:6" ht="16.5">
      <c r="B2" s="876" t="s">
        <v>403</v>
      </c>
      <c r="C2" s="876"/>
      <c r="D2" s="876" t="s">
        <v>404</v>
      </c>
      <c r="E2" s="876"/>
      <c r="F2" s="357"/>
    </row>
    <row r="3" spans="1:6" ht="17.25" thickBot="1">
      <c r="A3" s="882"/>
      <c r="B3" s="882"/>
      <c r="C3" s="882"/>
      <c r="D3" s="463"/>
      <c r="E3" s="463"/>
      <c r="F3" s="571"/>
    </row>
    <row r="4" spans="1:9" ht="16.5">
      <c r="A4" s="138" t="s">
        <v>94</v>
      </c>
      <c r="B4" s="877" t="s">
        <v>431</v>
      </c>
      <c r="C4" s="878"/>
      <c r="D4" s="877" t="s">
        <v>147</v>
      </c>
      <c r="E4" s="878"/>
      <c r="F4" s="341"/>
      <c r="G4" s="220"/>
      <c r="I4" s="65"/>
    </row>
    <row r="5" spans="1:6" ht="17.25" thickBot="1">
      <c r="A5" s="139" t="s">
        <v>97</v>
      </c>
      <c r="B5" s="464" t="s">
        <v>99</v>
      </c>
      <c r="C5" s="465" t="s">
        <v>100</v>
      </c>
      <c r="D5" s="464" t="s">
        <v>99</v>
      </c>
      <c r="E5" s="465" t="s">
        <v>100</v>
      </c>
      <c r="F5" s="124"/>
    </row>
    <row r="6" spans="1:6" ht="17.25">
      <c r="A6" s="350" t="s">
        <v>101</v>
      </c>
      <c r="B6" s="466"/>
      <c r="C6" s="467"/>
      <c r="D6" s="466"/>
      <c r="E6" s="467"/>
      <c r="F6" s="342"/>
    </row>
    <row r="7" spans="1:6" ht="17.25">
      <c r="A7" s="130"/>
      <c r="B7" s="468"/>
      <c r="C7" s="469"/>
      <c r="D7" s="468"/>
      <c r="E7" s="469"/>
      <c r="F7" s="124"/>
    </row>
    <row r="8" spans="1:6" ht="16.5">
      <c r="A8" s="131" t="s">
        <v>148</v>
      </c>
      <c r="B8" s="470"/>
      <c r="C8" s="469"/>
      <c r="D8" s="470"/>
      <c r="E8" s="469"/>
      <c r="F8" s="124"/>
    </row>
    <row r="9" spans="1:9" ht="16.5">
      <c r="A9" s="132" t="s">
        <v>107</v>
      </c>
      <c r="B9" s="471">
        <f>Штатное!J33-15000</f>
        <v>540400</v>
      </c>
      <c r="C9" s="472">
        <f>B9*2+(Штатное!J33-10000)*10</f>
        <v>6534800</v>
      </c>
      <c r="D9" s="471">
        <f>'2019_стр 3'!H8+'2019_стр 3'!H21</f>
        <v>575346.4079718144</v>
      </c>
      <c r="E9" s="472">
        <f>D9*12</f>
        <v>6904156.895661773</v>
      </c>
      <c r="F9" s="343"/>
      <c r="G9" s="65"/>
      <c r="H9" s="65"/>
      <c r="I9" s="204"/>
    </row>
    <row r="10" spans="1:6" ht="16.5">
      <c r="A10" s="132" t="s">
        <v>110</v>
      </c>
      <c r="B10" s="471">
        <f>Штатное!AJ33</f>
        <v>122188</v>
      </c>
      <c r="C10" s="472">
        <f>B10*2+(Штатное!AJ33-Штатное!AJ17-Штатное!AJ21)*10</f>
        <v>1359556</v>
      </c>
      <c r="D10" s="471">
        <f>'2019_стр 3'!H9+'2019_стр 3'!H22</f>
        <v>177281.21548908076</v>
      </c>
      <c r="E10" s="472">
        <f>D10*12</f>
        <v>2127374.585868969</v>
      </c>
      <c r="F10" s="343"/>
    </row>
    <row r="11" spans="1:8" ht="34.5" customHeight="1">
      <c r="A11" s="206" t="s">
        <v>433</v>
      </c>
      <c r="B11" s="471">
        <f>Штатное!K33+Штатное!AK33</f>
        <v>56239.80400000001</v>
      </c>
      <c r="C11" s="472">
        <f>B11*2+(Штатное!K33+Штатное!AK33-Штатное!K17-Штатное!AK17-Штатное!K21-Штатное!AK21)*10-14087</f>
        <v>611679.5480000002</v>
      </c>
      <c r="D11" s="471">
        <f>Штатное!K33+Штатное!AK33+Штатное!AM33+Штатное!AO33+Штатное!AQ33</f>
        <v>60019.85640000002</v>
      </c>
      <c r="E11" s="472">
        <f>D11*12</f>
        <v>720238.2768000002</v>
      </c>
      <c r="F11" s="343"/>
      <c r="H11" s="65"/>
    </row>
    <row r="12" spans="1:8" ht="20.25" customHeight="1">
      <c r="A12" s="206"/>
      <c r="B12" s="471"/>
      <c r="C12" s="472"/>
      <c r="D12" s="471"/>
      <c r="E12" s="472"/>
      <c r="F12" s="343"/>
      <c r="H12" s="65"/>
    </row>
    <row r="13" spans="1:8" ht="17.25">
      <c r="A13" s="132"/>
      <c r="B13" s="470"/>
      <c r="C13" s="473">
        <f>SUM(C9:C11)</f>
        <v>8506035.548</v>
      </c>
      <c r="D13" s="473">
        <f>SUM(D9:D11)</f>
        <v>812647.4798608952</v>
      </c>
      <c r="E13" s="473">
        <f>SUM(E9:E10)</f>
        <v>9031531.481530743</v>
      </c>
      <c r="F13" s="344"/>
      <c r="G13" s="65"/>
      <c r="H13" s="207"/>
    </row>
    <row r="14" spans="1:6" ht="16.5">
      <c r="A14" s="133"/>
      <c r="B14" s="471"/>
      <c r="C14" s="472"/>
      <c r="D14" s="471"/>
      <c r="E14" s="472"/>
      <c r="F14" s="343"/>
    </row>
    <row r="15" spans="1:6" ht="16.5">
      <c r="A15" s="133" t="s">
        <v>149</v>
      </c>
      <c r="B15" s="471"/>
      <c r="C15" s="472"/>
      <c r="D15" s="471"/>
      <c r="E15" s="472"/>
      <c r="F15" s="343"/>
    </row>
    <row r="16" spans="1:6" ht="17.25">
      <c r="A16" s="133" t="s">
        <v>150</v>
      </c>
      <c r="B16" s="471">
        <f>См_доход!U7+См_доход!U8+15000</f>
        <v>293840.78</v>
      </c>
      <c r="C16" s="473">
        <f>B16*12</f>
        <v>3526089.3600000003</v>
      </c>
      <c r="D16" s="471">
        <f>'2019_стр 1'!J7+'2019_стр 1'!J8/12+'2019_стр 1'!J9/12+'2019_стр 1'!J10/12</f>
        <v>201709.54</v>
      </c>
      <c r="E16" s="473">
        <f>D16*12</f>
        <v>2420514.48</v>
      </c>
      <c r="F16" s="344"/>
    </row>
    <row r="17" spans="1:6" ht="17.25">
      <c r="A17" s="133" t="s">
        <v>116</v>
      </c>
      <c r="B17" s="471">
        <v>7523</v>
      </c>
      <c r="C17" s="473">
        <f>B17*12</f>
        <v>90276</v>
      </c>
      <c r="D17" s="471">
        <f>'2019_стр 3'!H15+'2019_стр 3'!H27</f>
        <v>17065.643999289598</v>
      </c>
      <c r="E17" s="473">
        <f>D17*12</f>
        <v>204787.72799147517</v>
      </c>
      <c r="F17" s="344"/>
    </row>
    <row r="18" spans="1:6" ht="17.25">
      <c r="A18" s="133" t="s">
        <v>344</v>
      </c>
      <c r="B18" s="471">
        <f>См_доход!T29</f>
        <v>122062.08333333333</v>
      </c>
      <c r="C18" s="474">
        <f>B18*12</f>
        <v>1464745</v>
      </c>
      <c r="D18" s="471">
        <f>'2019_стр 3'!H19+'2019_стр 3'!H27</f>
        <v>45194.33099768999</v>
      </c>
      <c r="E18" s="474">
        <f>D18*12</f>
        <v>542331.97197228</v>
      </c>
      <c r="F18" s="345"/>
    </row>
    <row r="19" spans="1:6" ht="17.25">
      <c r="A19" s="133" t="s">
        <v>402</v>
      </c>
      <c r="B19" s="471"/>
      <c r="C19" s="473"/>
      <c r="D19" s="471">
        <f>'2019_стр 3'!H17+'2019_стр 3'!H25</f>
        <v>193689.98999009997</v>
      </c>
      <c r="E19" s="474">
        <f>D19*12</f>
        <v>2324279.8798811994</v>
      </c>
      <c r="F19" s="344"/>
    </row>
    <row r="20" spans="1:7" ht="17.25">
      <c r="A20" s="133" t="s">
        <v>117</v>
      </c>
      <c r="B20" s="471"/>
      <c r="C20" s="473">
        <v>6390000</v>
      </c>
      <c r="D20" s="471"/>
      <c r="E20" s="473">
        <f>SUM(E22:E29)</f>
        <v>4630000</v>
      </c>
      <c r="F20" s="344"/>
      <c r="G20" s="65"/>
    </row>
    <row r="21" spans="1:6" ht="16.5">
      <c r="A21" s="134" t="s">
        <v>145</v>
      </c>
      <c r="B21" s="471"/>
      <c r="C21" s="472"/>
      <c r="D21" s="471"/>
      <c r="E21" s="472"/>
      <c r="F21" s="343"/>
    </row>
    <row r="22" spans="1:6" ht="16.5">
      <c r="A22" s="711" t="s">
        <v>434</v>
      </c>
      <c r="B22" s="471"/>
      <c r="C22" s="475">
        <v>3600000</v>
      </c>
      <c r="D22" s="471"/>
      <c r="E22" s="475">
        <v>2500000</v>
      </c>
      <c r="F22" s="346"/>
    </row>
    <row r="23" spans="1:6" ht="16.5">
      <c r="A23" s="711" t="s">
        <v>398</v>
      </c>
      <c r="B23" s="471"/>
      <c r="C23" s="475"/>
      <c r="D23" s="471"/>
      <c r="E23" s="475">
        <v>30000</v>
      </c>
      <c r="F23" s="346"/>
    </row>
    <row r="24" spans="1:6" ht="16.5">
      <c r="A24" s="711" t="s">
        <v>399</v>
      </c>
      <c r="B24" s="471"/>
      <c r="C24" s="475"/>
      <c r="D24" s="471"/>
      <c r="E24" s="475">
        <v>400000</v>
      </c>
      <c r="F24" s="346"/>
    </row>
    <row r="25" spans="1:6" ht="16.5">
      <c r="A25" s="711" t="s">
        <v>400</v>
      </c>
      <c r="B25" s="471"/>
      <c r="C25" s="475"/>
      <c r="D25" s="471"/>
      <c r="E25" s="475">
        <v>400000</v>
      </c>
      <c r="F25" s="346"/>
    </row>
    <row r="26" spans="1:6" ht="16.5">
      <c r="A26" s="711" t="s">
        <v>401</v>
      </c>
      <c r="B26" s="471"/>
      <c r="C26" s="475"/>
      <c r="D26" s="471"/>
      <c r="E26" s="475">
        <v>400000</v>
      </c>
      <c r="F26" s="346"/>
    </row>
    <row r="27" spans="1:6" ht="16.5">
      <c r="A27" s="711" t="s">
        <v>289</v>
      </c>
      <c r="B27" s="471"/>
      <c r="C27" s="475"/>
      <c r="D27" s="471"/>
      <c r="E27" s="475">
        <v>200000</v>
      </c>
      <c r="F27" s="346"/>
    </row>
    <row r="28" spans="1:6" ht="16.5">
      <c r="A28" s="711" t="s">
        <v>151</v>
      </c>
      <c r="B28" s="879"/>
      <c r="C28" s="880">
        <v>850000</v>
      </c>
      <c r="D28" s="879"/>
      <c r="E28" s="880">
        <v>700000</v>
      </c>
      <c r="F28" s="347"/>
    </row>
    <row r="29" spans="1:6" ht="16.5">
      <c r="A29" s="711" t="s">
        <v>290</v>
      </c>
      <c r="B29" s="879"/>
      <c r="C29" s="880"/>
      <c r="D29" s="879"/>
      <c r="E29" s="880"/>
      <c r="F29" s="347"/>
    </row>
    <row r="30" spans="1:6" ht="16.5">
      <c r="A30" s="135" t="s">
        <v>152</v>
      </c>
      <c r="B30" s="470"/>
      <c r="C30" s="476">
        <f>C13+C16+C17+C18+C20</f>
        <v>19977145.908</v>
      </c>
      <c r="D30" s="470"/>
      <c r="E30" s="476">
        <f>E13+E16+E17+E18+E19+E20</f>
        <v>19153445.541375697</v>
      </c>
      <c r="F30" s="348"/>
    </row>
    <row r="31" spans="1:6" ht="17.25">
      <c r="A31" s="130" t="s">
        <v>127</v>
      </c>
      <c r="B31" s="468"/>
      <c r="C31" s="472"/>
      <c r="D31" s="468"/>
      <c r="E31" s="472"/>
      <c r="F31" s="343"/>
    </row>
    <row r="32" spans="1:6" ht="16.5">
      <c r="A32" s="136" t="s">
        <v>145</v>
      </c>
      <c r="B32" s="477"/>
      <c r="C32" s="472"/>
      <c r="D32" s="477"/>
      <c r="E32" s="472"/>
      <c r="F32" s="343"/>
    </row>
    <row r="33" spans="1:6" ht="16.5">
      <c r="A33" s="133" t="s">
        <v>129</v>
      </c>
      <c r="B33" s="471">
        <f>'Бюдж поступл'!E21</f>
        <v>151979.40723993455</v>
      </c>
      <c r="C33" s="476">
        <f>B33*12</f>
        <v>1823752.8868792146</v>
      </c>
      <c r="D33" s="471">
        <f>'2019_стр 3'!H30</f>
        <v>221802.76463908135</v>
      </c>
      <c r="E33" s="476">
        <f>D33*12</f>
        <v>2661633.1756689763</v>
      </c>
      <c r="F33" s="348"/>
    </row>
    <row r="34" spans="1:6" ht="16.5">
      <c r="A34" s="133"/>
      <c r="B34" s="471"/>
      <c r="C34" s="476"/>
      <c r="D34" s="471"/>
      <c r="E34" s="476"/>
      <c r="F34" s="348"/>
    </row>
    <row r="35" spans="1:6" ht="17.25">
      <c r="A35" s="130" t="s">
        <v>131</v>
      </c>
      <c r="B35" s="468"/>
      <c r="C35" s="476"/>
      <c r="D35" s="468"/>
      <c r="E35" s="476"/>
      <c r="F35" s="348"/>
    </row>
    <row r="36" spans="1:11" ht="16.5">
      <c r="A36" s="132" t="s">
        <v>132</v>
      </c>
      <c r="B36" s="471">
        <f>См_доход!F33</f>
        <v>28699.65</v>
      </c>
      <c r="C36" s="472">
        <f>B36*12</f>
        <v>344395.80000000005</v>
      </c>
      <c r="D36" s="471">
        <f>'2019_стр 4'!I23</f>
        <v>29036.063998348796</v>
      </c>
      <c r="E36" s="472">
        <f>D36*12</f>
        <v>348432.76798018557</v>
      </c>
      <c r="F36" s="343"/>
      <c r="K36" s="257"/>
    </row>
    <row r="37" spans="1:6" ht="16.5">
      <c r="A37" s="132" t="s">
        <v>133</v>
      </c>
      <c r="B37" s="471">
        <v>9600</v>
      </c>
      <c r="C37" s="472">
        <f>B37*12</f>
        <v>115200</v>
      </c>
      <c r="D37" s="471">
        <v>10200</v>
      </c>
      <c r="E37" s="472">
        <f>D37*12</f>
        <v>122400</v>
      </c>
      <c r="F37" s="343"/>
    </row>
    <row r="38" spans="1:6" ht="16.5">
      <c r="A38" s="132"/>
      <c r="B38" s="471"/>
      <c r="C38" s="472"/>
      <c r="D38" s="471"/>
      <c r="E38" s="472"/>
      <c r="F38" s="343"/>
    </row>
    <row r="39" spans="1:6" ht="16.5">
      <c r="A39" s="133" t="s">
        <v>75</v>
      </c>
      <c r="B39" s="471"/>
      <c r="C39" s="476">
        <f>SUM(C36:C37)</f>
        <v>459595.80000000005</v>
      </c>
      <c r="D39" s="471"/>
      <c r="E39" s="476">
        <f>SUM(E36:E37)</f>
        <v>470832.76798018557</v>
      </c>
      <c r="F39" s="348"/>
    </row>
    <row r="40" spans="1:6" ht="17.25">
      <c r="A40" s="130"/>
      <c r="B40" s="468"/>
      <c r="C40" s="476"/>
      <c r="D40" s="468"/>
      <c r="E40" s="476"/>
      <c r="F40" s="348"/>
    </row>
    <row r="41" spans="1:6" ht="17.25">
      <c r="A41" s="130" t="s">
        <v>301</v>
      </c>
      <c r="B41" s="468"/>
      <c r="C41" s="476">
        <f>345576+382010-4656</f>
        <v>722930</v>
      </c>
      <c r="D41" s="468"/>
      <c r="E41" s="476">
        <f>F44-22285911</f>
        <v>64987.17675693333</v>
      </c>
      <c r="F41" s="348"/>
    </row>
    <row r="42" spans="1:6" ht="17.25">
      <c r="A42" s="130"/>
      <c r="B42" s="468"/>
      <c r="C42" s="476"/>
      <c r="D42" s="468"/>
      <c r="E42" s="476"/>
      <c r="F42" s="348"/>
    </row>
    <row r="43" spans="1:6" ht="17.25">
      <c r="A43" s="130"/>
      <c r="B43" s="468"/>
      <c r="C43" s="476"/>
      <c r="D43" s="468"/>
      <c r="E43" s="476"/>
      <c r="F43" s="348"/>
    </row>
    <row r="44" spans="1:8" ht="16.5">
      <c r="A44" s="135" t="s">
        <v>154</v>
      </c>
      <c r="B44" s="470"/>
      <c r="C44" s="476">
        <f>C30+C33+C39+C41</f>
        <v>22983424.594879214</v>
      </c>
      <c r="D44" s="470"/>
      <c r="E44" s="476">
        <f>E30+E33+E39+E41</f>
        <v>22350898.66178179</v>
      </c>
      <c r="F44" s="348">
        <f>'2019_стр 4'!J31</f>
        <v>22350898.176756933</v>
      </c>
      <c r="H44" s="65"/>
    </row>
    <row r="45" spans="1:8" ht="17.25" thickBot="1">
      <c r="A45" s="137"/>
      <c r="B45" s="478"/>
      <c r="C45" s="479"/>
      <c r="D45" s="478"/>
      <c r="E45" s="479"/>
      <c r="F45" s="349"/>
      <c r="G45" s="65"/>
      <c r="H45" s="65"/>
    </row>
  </sheetData>
  <sheetProtection/>
  <mergeCells count="10">
    <mergeCell ref="B28:B29"/>
    <mergeCell ref="C28:C29"/>
    <mergeCell ref="D28:D29"/>
    <mergeCell ref="E28:E29"/>
    <mergeCell ref="A1:C1"/>
    <mergeCell ref="B2:C2"/>
    <mergeCell ref="D2:E2"/>
    <mergeCell ref="A3:C3"/>
    <mergeCell ref="B4:C4"/>
    <mergeCell ref="D4:E4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I28" sqref="I28"/>
    </sheetView>
  </sheetViews>
  <sheetFormatPr defaultColWidth="8.796875" defaultRowHeight="14.25"/>
  <cols>
    <col min="1" max="1" width="24" style="47" customWidth="1"/>
    <col min="2" max="2" width="17.8984375" style="47" customWidth="1"/>
    <col min="3" max="3" width="13.5" style="47" customWidth="1"/>
    <col min="4" max="4" width="12.8984375" style="47" customWidth="1"/>
    <col min="5" max="5" width="13.09765625" style="47" customWidth="1"/>
    <col min="6" max="7" width="19.19921875" style="47" customWidth="1"/>
    <col min="8" max="8" width="13.09765625" style="47" customWidth="1"/>
    <col min="9" max="16384" width="9" style="47" customWidth="1"/>
  </cols>
  <sheetData>
    <row r="1" spans="8:9" ht="16.5">
      <c r="H1" s="712" t="s">
        <v>302</v>
      </c>
      <c r="I1" s="713"/>
    </row>
    <row r="2" spans="8:9" ht="17.25" customHeight="1">
      <c r="H2" s="712"/>
      <c r="I2" s="713"/>
    </row>
    <row r="3" ht="16.5">
      <c r="I3" s="713"/>
    </row>
    <row r="4" spans="1:9" ht="16.5">
      <c r="A4" s="1045" t="s">
        <v>303</v>
      </c>
      <c r="B4" s="1045"/>
      <c r="C4" s="1045"/>
      <c r="D4" s="1045"/>
      <c r="E4" s="1045"/>
      <c r="F4" s="1045"/>
      <c r="G4" s="1045"/>
      <c r="H4" s="1045"/>
      <c r="I4" s="713"/>
    </row>
    <row r="5" spans="1:9" ht="16.5">
      <c r="A5" s="1045" t="s">
        <v>304</v>
      </c>
      <c r="B5" s="1045"/>
      <c r="C5" s="1045"/>
      <c r="D5" s="1045"/>
      <c r="E5" s="1045"/>
      <c r="F5" s="1045"/>
      <c r="G5" s="1045"/>
      <c r="H5" s="1045"/>
      <c r="I5" s="713"/>
    </row>
    <row r="6" spans="1:9" ht="16.5">
      <c r="A6" s="1045" t="s">
        <v>436</v>
      </c>
      <c r="B6" s="1045"/>
      <c r="C6" s="1045"/>
      <c r="D6" s="1045"/>
      <c r="E6" s="1045"/>
      <c r="F6" s="1045"/>
      <c r="G6" s="1045"/>
      <c r="H6" s="1045"/>
      <c r="I6" s="713"/>
    </row>
    <row r="7" spans="1:9" ht="17.25" thickBot="1">
      <c r="A7" s="124"/>
      <c r="B7" s="124"/>
      <c r="C7" s="124"/>
      <c r="D7" s="124"/>
      <c r="E7" s="124"/>
      <c r="F7" s="124"/>
      <c r="G7" s="124"/>
      <c r="H7" s="124"/>
      <c r="I7" s="713"/>
    </row>
    <row r="8" spans="1:8" ht="16.5">
      <c r="A8" s="714"/>
      <c r="B8" s="715"/>
      <c r="C8" s="1054" t="s">
        <v>306</v>
      </c>
      <c r="D8" s="1055"/>
      <c r="E8" s="1055"/>
      <c r="F8" s="1055"/>
      <c r="G8" s="1055"/>
      <c r="H8" s="1056"/>
    </row>
    <row r="9" spans="1:8" ht="17.25" thickBot="1">
      <c r="A9" s="1044" t="s">
        <v>307</v>
      </c>
      <c r="B9" s="1044"/>
      <c r="C9" s="1057" t="s">
        <v>308</v>
      </c>
      <c r="D9" s="1046"/>
      <c r="E9" s="1046"/>
      <c r="F9" s="1046"/>
      <c r="G9" s="1046"/>
      <c r="H9" s="1058"/>
    </row>
    <row r="10" spans="1:8" ht="16.5">
      <c r="A10" s="1044" t="s">
        <v>309</v>
      </c>
      <c r="B10" s="1044"/>
      <c r="C10" s="1059" t="s">
        <v>15</v>
      </c>
      <c r="D10" s="1026" t="s">
        <v>140</v>
      </c>
      <c r="E10" s="1028" t="s">
        <v>141</v>
      </c>
      <c r="F10" s="1026" t="s">
        <v>443</v>
      </c>
      <c r="G10" s="1026" t="s">
        <v>19</v>
      </c>
      <c r="H10" s="1060" t="s">
        <v>442</v>
      </c>
    </row>
    <row r="11" spans="1:8" ht="17.25" thickBot="1">
      <c r="A11" s="716"/>
      <c r="B11" s="717"/>
      <c r="C11" s="1061"/>
      <c r="D11" s="1027"/>
      <c r="E11" s="1029"/>
      <c r="F11" s="1027"/>
      <c r="G11" s="1027"/>
      <c r="H11" s="1062"/>
    </row>
    <row r="12" spans="1:8" ht="15" customHeight="1">
      <c r="A12" s="718" t="s">
        <v>312</v>
      </c>
      <c r="B12" s="1050"/>
      <c r="C12" s="1063"/>
      <c r="D12" s="719"/>
      <c r="E12" s="720"/>
      <c r="F12" s="720"/>
      <c r="G12" s="720"/>
      <c r="H12" s="1064"/>
    </row>
    <row r="13" spans="1:8" ht="15" customHeight="1">
      <c r="A13" s="721" t="s">
        <v>313</v>
      </c>
      <c r="B13" s="1051"/>
      <c r="C13" s="1065"/>
      <c r="D13" s="722"/>
      <c r="E13" s="723"/>
      <c r="F13" s="723"/>
      <c r="G13" s="723"/>
      <c r="H13" s="1066"/>
    </row>
    <row r="14" spans="1:8" ht="15" customHeight="1">
      <c r="A14" s="1047" t="s">
        <v>435</v>
      </c>
      <c r="B14" s="1049"/>
      <c r="C14" s="1067">
        <v>6.510000000000001</v>
      </c>
      <c r="D14" s="724">
        <v>6.510000000000001</v>
      </c>
      <c r="E14" s="724">
        <v>6.510000000000001</v>
      </c>
      <c r="F14" s="724">
        <v>6.510000000000001</v>
      </c>
      <c r="G14" s="724">
        <v>6.510000000000001</v>
      </c>
      <c r="H14" s="1068">
        <v>9.599634600601183</v>
      </c>
    </row>
    <row r="15" spans="1:8" ht="15" customHeight="1">
      <c r="A15" s="1048" t="s">
        <v>315</v>
      </c>
      <c r="B15" s="1052"/>
      <c r="C15" s="1067">
        <v>1.4790832904614972</v>
      </c>
      <c r="D15" s="724">
        <v>1.39</v>
      </c>
      <c r="E15" s="725">
        <v>2.7603443358162876</v>
      </c>
      <c r="F15" s="725">
        <v>2.771900170833574</v>
      </c>
      <c r="G15" s="725">
        <v>2.7923132191042943</v>
      </c>
      <c r="H15" s="1068" t="s">
        <v>278</v>
      </c>
    </row>
    <row r="16" spans="1:8" ht="15" customHeight="1">
      <c r="A16" s="1047" t="s">
        <v>316</v>
      </c>
      <c r="B16" s="1049"/>
      <c r="C16" s="1067">
        <v>0.11</v>
      </c>
      <c r="D16" s="724">
        <v>0.11</v>
      </c>
      <c r="E16" s="724">
        <v>0.11</v>
      </c>
      <c r="F16" s="724">
        <v>0.11</v>
      </c>
      <c r="G16" s="724">
        <v>0.11</v>
      </c>
      <c r="H16" s="1068">
        <v>0.07</v>
      </c>
    </row>
    <row r="17" spans="1:8" ht="15" customHeight="1">
      <c r="A17" s="1049" t="s">
        <v>317</v>
      </c>
      <c r="B17" s="1049"/>
      <c r="C17" s="1067">
        <v>2.4</v>
      </c>
      <c r="D17" s="724">
        <v>2.4</v>
      </c>
      <c r="E17" s="724">
        <v>2.4</v>
      </c>
      <c r="F17" s="724">
        <v>2.4</v>
      </c>
      <c r="G17" s="724">
        <v>2.4</v>
      </c>
      <c r="H17" s="1068">
        <v>2.5</v>
      </c>
    </row>
    <row r="18" spans="1:8" ht="15" customHeight="1" thickBot="1">
      <c r="A18" s="1047" t="s">
        <v>318</v>
      </c>
      <c r="B18" s="1049"/>
      <c r="C18" s="1067">
        <v>1.8</v>
      </c>
      <c r="D18" s="724">
        <v>1.8</v>
      </c>
      <c r="E18" s="724">
        <v>1.8</v>
      </c>
      <c r="F18" s="726">
        <v>1.8</v>
      </c>
      <c r="G18" s="726">
        <v>1.8</v>
      </c>
      <c r="H18" s="1068">
        <v>1.8</v>
      </c>
    </row>
    <row r="19" spans="1:8" ht="15" customHeight="1" thickBot="1">
      <c r="A19" s="1037" t="s">
        <v>20</v>
      </c>
      <c r="B19" s="1053"/>
      <c r="C19" s="1069">
        <f>SUM(C14:C18)</f>
        <v>12.299083290461498</v>
      </c>
      <c r="D19" s="727">
        <f>SUM(D14:D18)</f>
        <v>12.21</v>
      </c>
      <c r="E19" s="727">
        <v>13.580344335816289</v>
      </c>
      <c r="F19" s="727">
        <v>13.591900170833576</v>
      </c>
      <c r="G19" s="727">
        <v>13.612313219104296</v>
      </c>
      <c r="H19" s="1070">
        <v>13.969634600601184</v>
      </c>
    </row>
    <row r="20" spans="1:8" ht="15" customHeight="1" thickBot="1">
      <c r="A20" s="1085" t="s">
        <v>577</v>
      </c>
      <c r="B20" s="1086"/>
      <c r="C20" s="1074">
        <v>0.42</v>
      </c>
      <c r="D20" s="1075">
        <v>0.42</v>
      </c>
      <c r="E20" s="1075">
        <v>0.42</v>
      </c>
      <c r="F20" s="1075">
        <v>0.42</v>
      </c>
      <c r="G20" s="1075">
        <v>0.42</v>
      </c>
      <c r="H20" s="1076">
        <v>0.42</v>
      </c>
    </row>
    <row r="21" spans="1:8" ht="15" customHeight="1" thickBot="1">
      <c r="A21" s="1080" t="s">
        <v>578</v>
      </c>
      <c r="B21" s="1084"/>
      <c r="C21" s="1077">
        <f>C20+C19</f>
        <v>12.719083290461498</v>
      </c>
      <c r="D21" s="1078">
        <f>D20+D19</f>
        <v>12.63</v>
      </c>
      <c r="E21" s="1078">
        <f>E20+E19</f>
        <v>14.000344335816289</v>
      </c>
      <c r="F21" s="1078">
        <f>F20+F19</f>
        <v>14.011900170833576</v>
      </c>
      <c r="G21" s="1078">
        <f>G20+G19</f>
        <v>14.032313219104296</v>
      </c>
      <c r="H21" s="1079">
        <f>H20+H19</f>
        <v>14.389634600601184</v>
      </c>
    </row>
    <row r="22" spans="1:8" ht="15" customHeight="1" thickBot="1">
      <c r="A22" s="728" t="s">
        <v>437</v>
      </c>
      <c r="B22" s="729"/>
      <c r="C22" s="1081">
        <v>33</v>
      </c>
      <c r="D22" s="1082">
        <v>33</v>
      </c>
      <c r="E22" s="1082">
        <v>33</v>
      </c>
      <c r="F22" s="1082">
        <v>33</v>
      </c>
      <c r="G22" s="1082">
        <v>33</v>
      </c>
      <c r="H22" s="1083"/>
    </row>
    <row r="23" spans="1:8" ht="15" customHeight="1" thickBot="1">
      <c r="A23" s="730" t="s">
        <v>438</v>
      </c>
      <c r="B23" s="349"/>
      <c r="C23" s="1069">
        <v>0.32</v>
      </c>
      <c r="D23" s="727">
        <v>0.32</v>
      </c>
      <c r="E23" s="727">
        <v>0.32</v>
      </c>
      <c r="F23" s="727">
        <v>0.32</v>
      </c>
      <c r="G23" s="727">
        <v>0.32</v>
      </c>
      <c r="H23" s="1073" t="s">
        <v>278</v>
      </c>
    </row>
    <row r="24" spans="1:8" ht="15" customHeight="1" thickBot="1">
      <c r="A24" s="730" t="s">
        <v>439</v>
      </c>
      <c r="B24" s="349"/>
      <c r="C24" s="1087">
        <v>45</v>
      </c>
      <c r="D24" s="1088">
        <v>45</v>
      </c>
      <c r="E24" s="1088">
        <v>45</v>
      </c>
      <c r="F24" s="1088">
        <v>45</v>
      </c>
      <c r="G24" s="1088">
        <v>45</v>
      </c>
      <c r="H24" s="1089" t="s">
        <v>278</v>
      </c>
    </row>
    <row r="25" spans="1:8" ht="15" customHeight="1" thickBot="1">
      <c r="A25" s="730" t="s">
        <v>440</v>
      </c>
      <c r="B25" s="349"/>
      <c r="C25" s="1071" t="s">
        <v>323</v>
      </c>
      <c r="D25" s="1038"/>
      <c r="E25" s="1038"/>
      <c r="F25" s="1038"/>
      <c r="G25" s="1038"/>
      <c r="H25" s="1072"/>
    </row>
    <row r="26" spans="1:8" ht="15" customHeight="1" thickBot="1">
      <c r="A26" s="1039" t="s">
        <v>441</v>
      </c>
      <c r="B26" s="1040"/>
      <c r="C26" s="1041"/>
      <c r="D26" s="1042"/>
      <c r="E26" s="1042"/>
      <c r="F26" s="1042"/>
      <c r="G26" s="1042"/>
      <c r="H26" s="1043"/>
    </row>
    <row r="27" spans="1:8" ht="15" customHeight="1" thickBot="1">
      <c r="A27" s="731"/>
      <c r="B27" s="732" t="s">
        <v>325</v>
      </c>
      <c r="C27" s="1030" t="s">
        <v>323</v>
      </c>
      <c r="D27" s="1031"/>
      <c r="E27" s="1031"/>
      <c r="F27" s="1031"/>
      <c r="G27" s="1031"/>
      <c r="H27" s="1032"/>
    </row>
    <row r="28" spans="1:8" ht="15" customHeight="1" thickBot="1">
      <c r="A28" s="731"/>
      <c r="B28" s="732" t="s">
        <v>153</v>
      </c>
      <c r="C28" s="1030" t="s">
        <v>323</v>
      </c>
      <c r="D28" s="1031"/>
      <c r="E28" s="1031"/>
      <c r="F28" s="1031"/>
      <c r="G28" s="1031"/>
      <c r="H28" s="1032"/>
    </row>
    <row r="29" spans="1:8" ht="15" customHeight="1" thickBot="1">
      <c r="A29" s="731"/>
      <c r="B29" s="732" t="s">
        <v>327</v>
      </c>
      <c r="C29" s="1030" t="s">
        <v>323</v>
      </c>
      <c r="D29" s="1031"/>
      <c r="E29" s="1031"/>
      <c r="F29" s="1031"/>
      <c r="G29" s="1031"/>
      <c r="H29" s="1032"/>
    </row>
    <row r="30" spans="1:8" ht="15" customHeight="1" thickBot="1">
      <c r="A30" s="733"/>
      <c r="B30" s="734" t="s">
        <v>326</v>
      </c>
      <c r="C30" s="1033" t="s">
        <v>444</v>
      </c>
      <c r="D30" s="1034"/>
      <c r="E30" s="1034"/>
      <c r="F30" s="1034"/>
      <c r="G30" s="1034"/>
      <c r="H30" s="1035"/>
    </row>
    <row r="31" spans="1:7" ht="15" customHeight="1">
      <c r="A31" s="1036"/>
      <c r="B31" s="1036"/>
      <c r="C31" s="1025"/>
      <c r="D31" s="1025"/>
      <c r="E31" s="1025"/>
      <c r="F31" s="735"/>
      <c r="G31" s="735"/>
    </row>
    <row r="32" spans="1:7" ht="16.5">
      <c r="A32" s="349"/>
      <c r="C32" s="1025"/>
      <c r="D32" s="1025"/>
      <c r="E32" s="1025"/>
      <c r="F32" s="735"/>
      <c r="G32" s="735"/>
    </row>
    <row r="33" spans="1:5" ht="16.5">
      <c r="A33" s="47" t="s">
        <v>328</v>
      </c>
      <c r="C33" s="1090"/>
      <c r="E33" s="47" t="s">
        <v>285</v>
      </c>
    </row>
  </sheetData>
  <sheetProtection/>
  <mergeCells count="31">
    <mergeCell ref="A4:H4"/>
    <mergeCell ref="A5:H5"/>
    <mergeCell ref="A6:H6"/>
    <mergeCell ref="C8:H8"/>
    <mergeCell ref="A9:B9"/>
    <mergeCell ref="C9:H9"/>
    <mergeCell ref="A10:B10"/>
    <mergeCell ref="A14:B14"/>
    <mergeCell ref="A15:B15"/>
    <mergeCell ref="A16:B16"/>
    <mergeCell ref="A20:B20"/>
    <mergeCell ref="A17:B17"/>
    <mergeCell ref="C30:H30"/>
    <mergeCell ref="A31:B31"/>
    <mergeCell ref="C31:E31"/>
    <mergeCell ref="A18:B18"/>
    <mergeCell ref="A19:B19"/>
    <mergeCell ref="C25:H25"/>
    <mergeCell ref="A26:B26"/>
    <mergeCell ref="C26:H26"/>
    <mergeCell ref="A21:B21"/>
    <mergeCell ref="H10:H11"/>
    <mergeCell ref="C32:E32"/>
    <mergeCell ref="C10:C11"/>
    <mergeCell ref="D10:D11"/>
    <mergeCell ref="E10:E11"/>
    <mergeCell ref="F10:F11"/>
    <mergeCell ref="G10:G11"/>
    <mergeCell ref="C27:H27"/>
    <mergeCell ref="C28:H28"/>
    <mergeCell ref="C29:H29"/>
  </mergeCells>
  <printOptions/>
  <pageMargins left="0.11811023622047245" right="0.11811023622047245" top="0.15748031496062992" bottom="0.15748031496062992" header="0.196850393700787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4" sqref="F14"/>
    </sheetView>
  </sheetViews>
  <sheetFormatPr defaultColWidth="23.8984375" defaultRowHeight="14.25"/>
  <cols>
    <col min="1" max="1" width="23.8984375" style="507" customWidth="1"/>
    <col min="2" max="5" width="13.69921875" style="507" customWidth="1"/>
    <col min="6" max="16384" width="23.8984375" style="507" customWidth="1"/>
  </cols>
  <sheetData>
    <row r="1" ht="18.75">
      <c r="E1" s="508" t="s">
        <v>0</v>
      </c>
    </row>
    <row r="2" ht="18.75">
      <c r="E2" s="359"/>
    </row>
    <row r="4" spans="1:9" s="509" customFormat="1" ht="18.75">
      <c r="A4" s="802" t="s">
        <v>5</v>
      </c>
      <c r="B4" s="802"/>
      <c r="C4" s="802"/>
      <c r="D4" s="802"/>
      <c r="E4" s="802"/>
      <c r="F4" s="802"/>
      <c r="G4" s="359"/>
      <c r="H4" s="359"/>
      <c r="I4" s="359"/>
    </row>
    <row r="5" spans="1:9" s="509" customFormat="1" ht="18.75">
      <c r="A5" s="802" t="s">
        <v>358</v>
      </c>
      <c r="B5" s="802"/>
      <c r="C5" s="802"/>
      <c r="D5" s="802"/>
      <c r="E5" s="802"/>
      <c r="F5" s="802"/>
      <c r="G5" s="359"/>
      <c r="H5" s="507"/>
      <c r="I5" s="507"/>
    </row>
    <row r="6" spans="1:9" s="509" customFormat="1" ht="18.75">
      <c r="A6" s="510"/>
      <c r="B6" s="803" t="s">
        <v>6</v>
      </c>
      <c r="C6" s="803"/>
      <c r="D6" s="803"/>
      <c r="E6" s="511" t="s">
        <v>7</v>
      </c>
      <c r="F6" s="507"/>
      <c r="G6" s="507"/>
      <c r="H6" s="507"/>
      <c r="I6" s="507"/>
    </row>
    <row r="7" spans="1:9" s="509" customFormat="1" ht="18.75">
      <c r="A7" s="512"/>
      <c r="B7" s="513" t="s">
        <v>8</v>
      </c>
      <c r="C7" s="513" t="s">
        <v>9</v>
      </c>
      <c r="D7" s="514" t="s">
        <v>10</v>
      </c>
      <c r="E7" s="513" t="s">
        <v>11</v>
      </c>
      <c r="F7" s="507"/>
      <c r="G7" s="507"/>
      <c r="H7" s="507"/>
      <c r="I7" s="507"/>
    </row>
    <row r="8" spans="1:9" s="509" customFormat="1" ht="18.75">
      <c r="A8" s="515"/>
      <c r="B8" s="516" t="s">
        <v>12</v>
      </c>
      <c r="C8" s="516" t="s">
        <v>12</v>
      </c>
      <c r="D8" s="517" t="s">
        <v>13</v>
      </c>
      <c r="E8" s="516" t="s">
        <v>14</v>
      </c>
      <c r="F8" s="507"/>
      <c r="G8" s="507"/>
      <c r="H8" s="507"/>
      <c r="I8" s="507"/>
    </row>
    <row r="9" spans="1:9" s="509" customFormat="1" ht="18.75">
      <c r="A9" s="518" t="s">
        <v>15</v>
      </c>
      <c r="B9" s="519">
        <f>'[3]СВОД '!$D$6</f>
        <v>19482.09999887</v>
      </c>
      <c r="C9" s="519">
        <f>'[3]СВОД '!$E$6</f>
        <v>4291.249999919999</v>
      </c>
      <c r="D9" s="520">
        <f>B9+C9</f>
        <v>23773.34999879</v>
      </c>
      <c r="E9" s="511">
        <v>7</v>
      </c>
      <c r="F9" s="507"/>
      <c r="G9" s="507"/>
      <c r="H9" s="507"/>
      <c r="I9" s="507"/>
    </row>
    <row r="10" spans="1:9" s="509" customFormat="1" ht="18.75">
      <c r="A10" s="521"/>
      <c r="B10" s="516"/>
      <c r="C10" s="516"/>
      <c r="D10" s="522"/>
      <c r="E10" s="516"/>
      <c r="F10" s="507"/>
      <c r="G10" s="507"/>
      <c r="H10" s="507"/>
      <c r="I10" s="507"/>
    </row>
    <row r="11" spans="1:9" s="509" customFormat="1" ht="18.75">
      <c r="A11" s="518" t="s">
        <v>16</v>
      </c>
      <c r="B11" s="519">
        <f>'[2]СВОД '!$D$7</f>
        <v>17835.599999</v>
      </c>
      <c r="C11" s="519">
        <f>'[2]СВОД '!$E$7</f>
        <v>3618.5999999399996</v>
      </c>
      <c r="D11" s="528">
        <f>B11+C11</f>
        <v>21454.19999894</v>
      </c>
      <c r="E11" s="511">
        <v>6</v>
      </c>
      <c r="F11" s="507"/>
      <c r="G11" s="507"/>
      <c r="H11" s="507"/>
      <c r="I11" s="507"/>
    </row>
    <row r="12" spans="1:9" s="509" customFormat="1" ht="18.75">
      <c r="A12" s="521"/>
      <c r="B12" s="516"/>
      <c r="C12" s="516"/>
      <c r="D12" s="522"/>
      <c r="E12" s="516"/>
      <c r="F12" s="507"/>
      <c r="G12" s="507"/>
      <c r="H12" s="507"/>
      <c r="I12" s="507"/>
    </row>
    <row r="13" spans="1:9" s="509" customFormat="1" ht="18.75">
      <c r="A13" s="518" t="s">
        <v>17</v>
      </c>
      <c r="B13" s="519">
        <f>'[2]СВОД '!$D$8</f>
        <v>20878.29999869</v>
      </c>
      <c r="C13" s="519">
        <f>'[2]СВОД '!$E$8</f>
        <v>4619.799999920001</v>
      </c>
      <c r="D13" s="528">
        <f>B13+C13</f>
        <v>25498.09999861</v>
      </c>
      <c r="E13" s="511">
        <v>14</v>
      </c>
      <c r="F13" s="507"/>
      <c r="G13" s="507"/>
      <c r="H13" s="507"/>
      <c r="I13" s="507"/>
    </row>
    <row r="14" spans="1:9" s="509" customFormat="1" ht="18.75">
      <c r="A14" s="521"/>
      <c r="B14" s="516"/>
      <c r="C14" s="516"/>
      <c r="D14" s="522"/>
      <c r="E14" s="516"/>
      <c r="F14" s="507"/>
      <c r="G14" s="507"/>
      <c r="H14" s="507"/>
      <c r="I14" s="507"/>
    </row>
    <row r="15" spans="1:9" s="509" customFormat="1" ht="18.75">
      <c r="A15" s="518" t="s">
        <v>18</v>
      </c>
      <c r="B15" s="519">
        <f>'[2]СВОД '!$D$9</f>
        <v>14850.899999229998</v>
      </c>
      <c r="C15" s="519">
        <f>'[2]СВОД '!$E$9</f>
        <v>1609.2999999400001</v>
      </c>
      <c r="D15" s="528">
        <f>B15+C15</f>
        <v>16460.19999917</v>
      </c>
      <c r="E15" s="511">
        <v>10</v>
      </c>
      <c r="F15" s="507"/>
      <c r="G15" s="507"/>
      <c r="H15" s="507"/>
      <c r="I15" s="507"/>
    </row>
    <row r="16" spans="1:9" s="509" customFormat="1" ht="18.75">
      <c r="A16" s="521"/>
      <c r="B16" s="516"/>
      <c r="C16" s="516"/>
      <c r="D16" s="522"/>
      <c r="E16" s="516"/>
      <c r="F16" s="507"/>
      <c r="G16" s="507"/>
      <c r="H16" s="507"/>
      <c r="I16" s="507"/>
    </row>
    <row r="17" spans="1:9" s="509" customFormat="1" ht="18.75">
      <c r="A17" s="518" t="s">
        <v>19</v>
      </c>
      <c r="B17" s="519">
        <f>'[2]СВОД '!$D$10</f>
        <v>17690.79999905</v>
      </c>
      <c r="C17" s="519">
        <f>'[2]СВОД '!$E$10</f>
        <v>2728.89999994</v>
      </c>
      <c r="D17" s="528">
        <f>B17+C17</f>
        <v>20419.69999899</v>
      </c>
      <c r="E17" s="511">
        <v>12</v>
      </c>
      <c r="F17" s="507"/>
      <c r="G17" s="507"/>
      <c r="H17" s="507"/>
      <c r="I17" s="507"/>
    </row>
    <row r="18" spans="1:9" s="509" customFormat="1" ht="18.75">
      <c r="A18" s="521"/>
      <c r="B18" s="516"/>
      <c r="C18" s="516"/>
      <c r="D18" s="522"/>
      <c r="E18" s="516"/>
      <c r="F18" s="507"/>
      <c r="G18" s="507"/>
      <c r="H18" s="507"/>
      <c r="I18" s="507"/>
    </row>
    <row r="19" spans="1:9" s="509" customFormat="1" ht="18.75">
      <c r="A19" s="518"/>
      <c r="B19" s="511"/>
      <c r="C19" s="523"/>
      <c r="D19" s="524"/>
      <c r="E19" s="511"/>
      <c r="F19" s="507"/>
      <c r="G19" s="507"/>
      <c r="H19" s="507"/>
      <c r="I19" s="507"/>
    </row>
    <row r="20" spans="1:9" s="509" customFormat="1" ht="18.75">
      <c r="A20" s="525" t="s">
        <v>20</v>
      </c>
      <c r="B20" s="526">
        <f>SUM(B9:B19)</f>
        <v>90737.69999483999</v>
      </c>
      <c r="C20" s="526">
        <f>SUM(C9:C19)</f>
        <v>16867.849999659997</v>
      </c>
      <c r="D20" s="526">
        <f>SUM(D9:D19)</f>
        <v>107605.5499945</v>
      </c>
      <c r="E20" s="527">
        <v>49</v>
      </c>
      <c r="F20" s="507"/>
      <c r="G20" s="507"/>
      <c r="H20" s="507"/>
      <c r="I20" s="507"/>
    </row>
  </sheetData>
  <sheetProtection/>
  <mergeCells count="3">
    <mergeCell ref="A4:F4"/>
    <mergeCell ref="A5:F5"/>
    <mergeCell ref="B6:D6"/>
  </mergeCells>
  <printOptions/>
  <pageMargins left="0.905511811023622" right="0.511811023622047" top="0.7480314960629921" bottom="0.7480314960629921" header="0.3149606299212601" footer="0.3149606299212601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6"/>
  <sheetViews>
    <sheetView zoomScalePageLayoutView="0" workbookViewId="0" topLeftCell="A16">
      <selection activeCell="G35" sqref="G35"/>
    </sheetView>
  </sheetViews>
  <sheetFormatPr defaultColWidth="8.796875" defaultRowHeight="14.25"/>
  <cols>
    <col min="1" max="1" width="3.8984375" style="4" customWidth="1"/>
    <col min="2" max="2" width="36.09765625" style="4" customWidth="1"/>
    <col min="3" max="3" width="11.3984375" style="6" customWidth="1"/>
    <col min="4" max="11" width="11.3984375" style="18" customWidth="1"/>
    <col min="12" max="12" width="14.3984375" style="18" customWidth="1"/>
    <col min="13" max="13" width="14.59765625" style="212" hidden="1" customWidth="1"/>
    <col min="14" max="17" width="13.09765625" style="253" customWidth="1"/>
    <col min="18" max="25" width="9.69921875" style="253" customWidth="1"/>
    <col min="26" max="35" width="10.5" style="253" customWidth="1"/>
    <col min="36" max="36" width="11.5" style="18" customWidth="1"/>
    <col min="37" max="37" width="10.09765625" style="18" customWidth="1"/>
    <col min="38" max="38" width="11.5" style="18" customWidth="1"/>
    <col min="39" max="39" width="9.69921875" style="18" customWidth="1"/>
    <col min="40" max="40" width="11.5" style="18" customWidth="1"/>
    <col min="41" max="42" width="9.5" style="18" customWidth="1"/>
    <col min="43" max="43" width="12.59765625" style="18" customWidth="1"/>
    <col min="44" max="45" width="11.5" style="18" customWidth="1"/>
    <col min="46" max="46" width="14.5" style="18" customWidth="1"/>
    <col min="47" max="47" width="11.5" style="18" customWidth="1"/>
    <col min="48" max="48" width="13.69921875" style="18" customWidth="1"/>
    <col min="49" max="49" width="11.5" style="18" customWidth="1"/>
    <col min="50" max="16384" width="9" style="4" customWidth="1"/>
  </cols>
  <sheetData>
    <row r="1" spans="2:49" ht="15.75">
      <c r="B1" s="829" t="s">
        <v>21</v>
      </c>
      <c r="C1" s="829"/>
      <c r="D1" s="829"/>
      <c r="E1" s="829"/>
      <c r="F1" s="829"/>
      <c r="G1" s="829"/>
      <c r="H1" s="829"/>
      <c r="I1" s="233"/>
      <c r="J1" s="232"/>
      <c r="K1" s="232"/>
      <c r="L1" s="232"/>
      <c r="M1" s="215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</row>
    <row r="2" spans="10:49" ht="15.75" customHeight="1" hidden="1">
      <c r="J2" s="480"/>
      <c r="K2" s="232"/>
      <c r="L2" s="232"/>
      <c r="M2" s="215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</row>
    <row r="3" spans="4:49" ht="16.5" thickBot="1">
      <c r="D3" s="481" t="s">
        <v>65</v>
      </c>
      <c r="E3" s="830" t="s">
        <v>66</v>
      </c>
      <c r="F3" s="830"/>
      <c r="G3" s="830"/>
      <c r="H3" s="830"/>
      <c r="I3" s="482"/>
      <c r="J3" s="831" t="s">
        <v>67</v>
      </c>
      <c r="K3" s="831"/>
      <c r="L3" s="831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</row>
    <row r="4" spans="1:49" ht="16.5" thickBot="1">
      <c r="A4" s="832" t="s">
        <v>22</v>
      </c>
      <c r="B4" s="832"/>
      <c r="C4" s="832"/>
      <c r="D4" s="483"/>
      <c r="E4" s="833" t="s">
        <v>359</v>
      </c>
      <c r="F4" s="833"/>
      <c r="G4" s="833"/>
      <c r="H4" s="833"/>
      <c r="I4" s="484"/>
      <c r="J4" s="834"/>
      <c r="K4" s="835"/>
      <c r="L4" s="836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</row>
    <row r="5" spans="1:49" ht="15.75">
      <c r="A5" s="5"/>
      <c r="B5" s="5"/>
      <c r="C5" s="355"/>
      <c r="D5" s="235"/>
      <c r="E5" s="485"/>
      <c r="F5" s="485"/>
      <c r="G5" s="485"/>
      <c r="H5" s="485"/>
      <c r="I5" s="485"/>
      <c r="J5" s="815" t="s">
        <v>68</v>
      </c>
      <c r="K5" s="815"/>
      <c r="L5" s="815"/>
      <c r="M5" s="213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</row>
    <row r="6" spans="1:49" ht="15.75">
      <c r="A6" s="5"/>
      <c r="B6" s="5"/>
      <c r="C6" s="355"/>
      <c r="D6" s="235"/>
      <c r="E6" s="485"/>
      <c r="F6" s="485"/>
      <c r="G6" s="485"/>
      <c r="H6" s="837" t="s">
        <v>69</v>
      </c>
      <c r="I6" s="837"/>
      <c r="J6" s="837"/>
      <c r="K6" s="837"/>
      <c r="L6" s="837"/>
      <c r="M6" s="214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</row>
    <row r="7" spans="1:49" ht="16.5" thickBot="1">
      <c r="A7" s="815" t="s">
        <v>353</v>
      </c>
      <c r="B7" s="815"/>
      <c r="C7" s="815"/>
      <c r="D7" s="815"/>
      <c r="E7" s="480"/>
      <c r="F7" s="480"/>
      <c r="G7" s="480"/>
      <c r="H7" s="838" t="s">
        <v>351</v>
      </c>
      <c r="I7" s="838"/>
      <c r="J7" s="838"/>
      <c r="K7" s="838"/>
      <c r="L7" s="838"/>
      <c r="M7" s="215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</row>
    <row r="8" spans="10:49" ht="16.5" thickBot="1">
      <c r="J8" s="232" t="s">
        <v>70</v>
      </c>
      <c r="K8" s="480">
        <f>C33</f>
        <v>54</v>
      </c>
      <c r="L8" s="232" t="s">
        <v>71</v>
      </c>
      <c r="M8" s="215"/>
      <c r="N8" s="256"/>
      <c r="O8" s="256"/>
      <c r="P8" s="256"/>
      <c r="Q8" s="256"/>
      <c r="R8" s="804" t="s">
        <v>355</v>
      </c>
      <c r="S8" s="805"/>
      <c r="T8" s="805"/>
      <c r="U8" s="805"/>
      <c r="V8" s="805"/>
      <c r="W8" s="805"/>
      <c r="X8" s="805"/>
      <c r="Y8" s="805"/>
      <c r="Z8" s="806"/>
      <c r="AA8" s="804" t="s">
        <v>356</v>
      </c>
      <c r="AB8" s="805"/>
      <c r="AC8" s="805"/>
      <c r="AD8" s="805"/>
      <c r="AE8" s="805"/>
      <c r="AF8" s="805"/>
      <c r="AG8" s="805"/>
      <c r="AH8" s="805"/>
      <c r="AI8" s="806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844" t="s">
        <v>373</v>
      </c>
      <c r="AU8" s="845"/>
      <c r="AV8" s="845"/>
      <c r="AW8" s="845"/>
    </row>
    <row r="9" spans="1:49" s="18" customFormat="1" ht="17.25" customHeight="1" thickBot="1">
      <c r="A9" s="221" t="s">
        <v>23</v>
      </c>
      <c r="B9" s="222" t="s">
        <v>24</v>
      </c>
      <c r="C9" s="503" t="s">
        <v>25</v>
      </c>
      <c r="D9" s="819" t="s">
        <v>72</v>
      </c>
      <c r="E9" s="819"/>
      <c r="F9" s="819"/>
      <c r="G9" s="819"/>
      <c r="H9" s="819"/>
      <c r="I9" s="259"/>
      <c r="J9" s="223" t="s">
        <v>73</v>
      </c>
      <c r="K9" s="224" t="s">
        <v>74</v>
      </c>
      <c r="L9" s="225" t="s">
        <v>75</v>
      </c>
      <c r="M9" s="223"/>
      <c r="N9" s="267"/>
      <c r="O9" s="274"/>
      <c r="P9" s="807" t="s">
        <v>357</v>
      </c>
      <c r="Q9" s="808"/>
      <c r="R9" s="816" t="s">
        <v>361</v>
      </c>
      <c r="S9" s="809" t="s">
        <v>362</v>
      </c>
      <c r="T9" s="812" t="s">
        <v>363</v>
      </c>
      <c r="U9" s="812" t="s">
        <v>364</v>
      </c>
      <c r="V9" s="820" t="s">
        <v>366</v>
      </c>
      <c r="W9" s="820" t="s">
        <v>367</v>
      </c>
      <c r="X9" s="812" t="s">
        <v>370</v>
      </c>
      <c r="Y9" s="820" t="s">
        <v>371</v>
      </c>
      <c r="Z9" s="825">
        <f>22%+2.9%+5.1%+0.2%</f>
        <v>0.302</v>
      </c>
      <c r="AA9" s="816" t="s">
        <v>361</v>
      </c>
      <c r="AB9" s="809" t="s">
        <v>365</v>
      </c>
      <c r="AC9" s="812" t="s">
        <v>363</v>
      </c>
      <c r="AD9" s="812" t="s">
        <v>364</v>
      </c>
      <c r="AE9" s="820" t="s">
        <v>368</v>
      </c>
      <c r="AF9" s="820" t="s">
        <v>369</v>
      </c>
      <c r="AG9" s="812" t="s">
        <v>372</v>
      </c>
      <c r="AH9" s="820" t="s">
        <v>371</v>
      </c>
      <c r="AI9" s="825">
        <f>22%+2.9%+5.1%+0.2%</f>
        <v>0.302</v>
      </c>
      <c r="AJ9" s="816" t="s">
        <v>361</v>
      </c>
      <c r="AK9" s="809" t="s">
        <v>365</v>
      </c>
      <c r="AL9" s="812" t="s">
        <v>363</v>
      </c>
      <c r="AM9" s="812" t="s">
        <v>364</v>
      </c>
      <c r="AN9" s="820" t="s">
        <v>368</v>
      </c>
      <c r="AO9" s="820" t="s">
        <v>369</v>
      </c>
      <c r="AP9" s="812" t="s">
        <v>372</v>
      </c>
      <c r="AQ9" s="820" t="s">
        <v>371</v>
      </c>
      <c r="AR9" s="825">
        <f>22%+2.9%+5.1%+0.2%</f>
        <v>0.302</v>
      </c>
      <c r="AS9" s="841" t="s">
        <v>419</v>
      </c>
      <c r="AT9" s="305">
        <f>L12*1.3</f>
        <v>57301.53</v>
      </c>
      <c r="AU9" s="297"/>
      <c r="AV9" s="846" t="s">
        <v>76</v>
      </c>
      <c r="AW9" s="846" t="s">
        <v>77</v>
      </c>
    </row>
    <row r="10" spans="1:49" s="18" customFormat="1" ht="15.75">
      <c r="A10" s="226" t="s">
        <v>26</v>
      </c>
      <c r="B10" s="19" t="s">
        <v>27</v>
      </c>
      <c r="C10" s="504" t="s">
        <v>78</v>
      </c>
      <c r="D10" s="15" t="s">
        <v>79</v>
      </c>
      <c r="E10" s="20" t="s">
        <v>79</v>
      </c>
      <c r="F10" s="20" t="s">
        <v>80</v>
      </c>
      <c r="G10" s="20" t="s">
        <v>81</v>
      </c>
      <c r="H10" s="16" t="s">
        <v>82</v>
      </c>
      <c r="I10" s="16" t="s">
        <v>360</v>
      </c>
      <c r="J10" s="17" t="s">
        <v>83</v>
      </c>
      <c r="K10" s="16" t="s">
        <v>84</v>
      </c>
      <c r="L10" s="227" t="s">
        <v>83</v>
      </c>
      <c r="M10" s="230"/>
      <c r="N10" s="268" t="s">
        <v>86</v>
      </c>
      <c r="O10" s="275" t="s">
        <v>87</v>
      </c>
      <c r="P10" s="268" t="s">
        <v>86</v>
      </c>
      <c r="Q10" s="269" t="s">
        <v>87</v>
      </c>
      <c r="R10" s="817"/>
      <c r="S10" s="810"/>
      <c r="T10" s="813"/>
      <c r="U10" s="813"/>
      <c r="V10" s="821"/>
      <c r="W10" s="821"/>
      <c r="X10" s="813"/>
      <c r="Y10" s="821"/>
      <c r="Z10" s="826"/>
      <c r="AA10" s="817"/>
      <c r="AB10" s="810"/>
      <c r="AC10" s="813"/>
      <c r="AD10" s="813"/>
      <c r="AE10" s="821"/>
      <c r="AF10" s="821"/>
      <c r="AG10" s="813"/>
      <c r="AH10" s="821"/>
      <c r="AI10" s="826"/>
      <c r="AJ10" s="817"/>
      <c r="AK10" s="810"/>
      <c r="AL10" s="813"/>
      <c r="AM10" s="813"/>
      <c r="AN10" s="821"/>
      <c r="AO10" s="821"/>
      <c r="AP10" s="813"/>
      <c r="AQ10" s="821"/>
      <c r="AR10" s="826"/>
      <c r="AS10" s="842"/>
      <c r="AT10" s="305" t="e">
        <f>AT12-#REF!</f>
        <v>#REF!</v>
      </c>
      <c r="AU10" s="297"/>
      <c r="AV10" s="846"/>
      <c r="AW10" s="846"/>
    </row>
    <row r="11" spans="1:49" s="18" customFormat="1" ht="15.75" customHeight="1" thickBot="1">
      <c r="A11" s="312"/>
      <c r="B11" s="313"/>
      <c r="C11" s="505" t="s">
        <v>85</v>
      </c>
      <c r="D11" s="314" t="s">
        <v>86</v>
      </c>
      <c r="E11" s="315" t="s">
        <v>87</v>
      </c>
      <c r="F11" s="315" t="s">
        <v>88</v>
      </c>
      <c r="G11" s="315" t="s">
        <v>349</v>
      </c>
      <c r="H11" s="316"/>
      <c r="I11" s="316"/>
      <c r="J11" s="317"/>
      <c r="K11" s="318"/>
      <c r="L11" s="319"/>
      <c r="M11" s="320"/>
      <c r="N11" s="270"/>
      <c r="O11" s="276"/>
      <c r="P11" s="270"/>
      <c r="Q11" s="271"/>
      <c r="R11" s="818"/>
      <c r="S11" s="811"/>
      <c r="T11" s="814"/>
      <c r="U11" s="814"/>
      <c r="V11" s="822"/>
      <c r="W11" s="822"/>
      <c r="X11" s="814"/>
      <c r="Y11" s="822"/>
      <c r="Z11" s="827"/>
      <c r="AA11" s="818"/>
      <c r="AB11" s="811"/>
      <c r="AC11" s="814"/>
      <c r="AD11" s="814"/>
      <c r="AE11" s="822"/>
      <c r="AF11" s="822"/>
      <c r="AG11" s="814"/>
      <c r="AH11" s="822"/>
      <c r="AI11" s="827"/>
      <c r="AJ11" s="818"/>
      <c r="AK11" s="811"/>
      <c r="AL11" s="814"/>
      <c r="AM11" s="814"/>
      <c r="AN11" s="822"/>
      <c r="AO11" s="822"/>
      <c r="AP11" s="814"/>
      <c r="AQ11" s="822"/>
      <c r="AR11" s="827"/>
      <c r="AS11" s="843"/>
      <c r="AT11" s="305"/>
      <c r="AU11" s="297"/>
      <c r="AV11" s="846"/>
      <c r="AW11" s="846"/>
    </row>
    <row r="12" spans="1:49" ht="15.75">
      <c r="A12" s="63" t="s">
        <v>28</v>
      </c>
      <c r="B12" s="64" t="s">
        <v>29</v>
      </c>
      <c r="C12" s="13">
        <v>1</v>
      </c>
      <c r="D12" s="486">
        <v>25000</v>
      </c>
      <c r="E12" s="486">
        <v>15700</v>
      </c>
      <c r="F12" s="486"/>
      <c r="G12" s="486"/>
      <c r="H12" s="487">
        <f>D12+E12+F12+G12</f>
        <v>40700</v>
      </c>
      <c r="I12" s="488">
        <f>H12*0.87</f>
        <v>35409</v>
      </c>
      <c r="J12" s="489">
        <f>H12*C12</f>
        <v>40700</v>
      </c>
      <c r="K12" s="490">
        <f>J12*0.083</f>
        <v>3378.1000000000004</v>
      </c>
      <c r="L12" s="265">
        <f>J12+K12</f>
        <v>44078.1</v>
      </c>
      <c r="M12" s="231"/>
      <c r="N12" s="272">
        <f>D12*C12</f>
        <v>25000</v>
      </c>
      <c r="O12" s="277">
        <f>C12*E12</f>
        <v>15700</v>
      </c>
      <c r="P12" s="278">
        <f>N12*0.083</f>
        <v>2075</v>
      </c>
      <c r="Q12" s="279">
        <f>O12*0.083</f>
        <v>1303.1000000000001</v>
      </c>
      <c r="R12" s="278">
        <f>N12*0.22</f>
        <v>5500</v>
      </c>
      <c r="S12" s="306">
        <f>P12*0.22</f>
        <v>456.5</v>
      </c>
      <c r="T12" s="272">
        <f>N12*0.029</f>
        <v>725</v>
      </c>
      <c r="U12" s="272">
        <f>P12*0.029</f>
        <v>60.175000000000004</v>
      </c>
      <c r="V12" s="272">
        <f>N12*0.051</f>
        <v>1275</v>
      </c>
      <c r="W12" s="272">
        <f>P12*0.051</f>
        <v>105.82499999999999</v>
      </c>
      <c r="X12" s="272">
        <f>N12*0.002</f>
        <v>50</v>
      </c>
      <c r="Y12" s="272">
        <f>P12*0.002</f>
        <v>4.15</v>
      </c>
      <c r="Z12" s="307">
        <f>SUM(R12:Y12)</f>
        <v>8176.65</v>
      </c>
      <c r="AA12" s="278">
        <f>O12*0.22</f>
        <v>3454</v>
      </c>
      <c r="AB12" s="272">
        <f>Q12*0.22</f>
        <v>286.682</v>
      </c>
      <c r="AC12" s="272">
        <f>O12*0.029</f>
        <v>455.3</v>
      </c>
      <c r="AD12" s="272">
        <f>Q12*0.029</f>
        <v>37.7899</v>
      </c>
      <c r="AE12" s="272">
        <f>O12*0.051</f>
        <v>800.6999999999999</v>
      </c>
      <c r="AF12" s="272">
        <f>Q12*0.051</f>
        <v>66.4581</v>
      </c>
      <c r="AG12" s="272">
        <f>O12*0.002</f>
        <v>31.400000000000002</v>
      </c>
      <c r="AH12" s="272">
        <f>Q12*0.002</f>
        <v>2.6062000000000003</v>
      </c>
      <c r="AI12" s="307">
        <f>SUM(AA12:AH12)</f>
        <v>5134.936199999999</v>
      </c>
      <c r="AJ12" s="308">
        <f>J12*0.22</f>
        <v>8954</v>
      </c>
      <c r="AK12" s="309">
        <f>K12*0.22</f>
        <v>743.1820000000001</v>
      </c>
      <c r="AL12" s="309">
        <f>J12*0.029</f>
        <v>1180.3</v>
      </c>
      <c r="AM12" s="309">
        <f>K12*0.029</f>
        <v>97.96490000000001</v>
      </c>
      <c r="AN12" s="309">
        <f>J12*0.051</f>
        <v>2075.7</v>
      </c>
      <c r="AO12" s="309">
        <f>K12*0.051</f>
        <v>172.28310000000002</v>
      </c>
      <c r="AP12" s="309">
        <f>J12*0.002</f>
        <v>81.4</v>
      </c>
      <c r="AQ12" s="309">
        <f>K12*0.002</f>
        <v>6.756200000000001</v>
      </c>
      <c r="AR12" s="310">
        <f>AO12+L12+AJ12+AK12+AL12+AM12+AN12+AP12+AQ12</f>
        <v>57389.686200000004</v>
      </c>
      <c r="AS12" s="311">
        <f>L12+Z12+AI12-L12*1.202</f>
        <v>4407.809999999998</v>
      </c>
      <c r="AT12" s="303">
        <f>AR12</f>
        <v>57389.686200000004</v>
      </c>
      <c r="AU12" s="298"/>
      <c r="AV12" s="298"/>
      <c r="AW12" s="298"/>
    </row>
    <row r="13" spans="1:49" ht="15.75">
      <c r="A13" s="58" t="s">
        <v>30</v>
      </c>
      <c r="B13" s="8" t="s">
        <v>31</v>
      </c>
      <c r="C13" s="7">
        <v>1</v>
      </c>
      <c r="D13" s="491">
        <v>21100</v>
      </c>
      <c r="E13" s="491">
        <v>18100</v>
      </c>
      <c r="F13" s="491"/>
      <c r="G13" s="491"/>
      <c r="H13" s="487">
        <f aca="true" t="shared" si="0" ref="H13:H32">D13+E13+F13+G13</f>
        <v>39200</v>
      </c>
      <c r="I13" s="488">
        <f aca="true" t="shared" si="1" ref="I13:I31">H13*0.87</f>
        <v>34104</v>
      </c>
      <c r="J13" s="489">
        <f aca="true" t="shared" si="2" ref="J13:J32">H13*C13</f>
        <v>39200</v>
      </c>
      <c r="K13" s="490">
        <f aca="true" t="shared" si="3" ref="K13:K32">J13*0.083</f>
        <v>3253.6000000000004</v>
      </c>
      <c r="L13" s="265">
        <f aca="true" t="shared" si="4" ref="L13:L32">J13+K13</f>
        <v>42453.6</v>
      </c>
      <c r="M13" s="231"/>
      <c r="N13" s="272">
        <f aca="true" t="shared" si="5" ref="N13:N32">D13*C13</f>
        <v>21100</v>
      </c>
      <c r="O13" s="277">
        <f>C13*E13</f>
        <v>18100</v>
      </c>
      <c r="P13" s="278">
        <f aca="true" t="shared" si="6" ref="P13:P32">N13*0.083</f>
        <v>1751.3000000000002</v>
      </c>
      <c r="Q13" s="279">
        <f aca="true" t="shared" si="7" ref="Q13:Q32">O13*0.083</f>
        <v>1502.3000000000002</v>
      </c>
      <c r="R13" s="285">
        <f aca="true" t="shared" si="8" ref="R13:R32">N13*0.22</f>
        <v>4642</v>
      </c>
      <c r="S13" s="280">
        <f aca="true" t="shared" si="9" ref="S13:S32">P13*0.22</f>
        <v>385.28600000000006</v>
      </c>
      <c r="T13" s="281">
        <f aca="true" t="shared" si="10" ref="T13:T32">N13*0.029</f>
        <v>611.9</v>
      </c>
      <c r="U13" s="281">
        <f aca="true" t="shared" si="11" ref="U13:U32">P13*0.029</f>
        <v>50.78770000000001</v>
      </c>
      <c r="V13" s="281">
        <f aca="true" t="shared" si="12" ref="V13:V32">N13*0.051</f>
        <v>1076.1</v>
      </c>
      <c r="W13" s="281">
        <f aca="true" t="shared" si="13" ref="W13:W32">P13*0.051</f>
        <v>89.3163</v>
      </c>
      <c r="X13" s="281">
        <f aca="true" t="shared" si="14" ref="X13:X32">N13*0.002</f>
        <v>42.2</v>
      </c>
      <c r="Y13" s="281">
        <f aca="true" t="shared" si="15" ref="Y13:Y32">P13*0.002</f>
        <v>3.5026000000000006</v>
      </c>
      <c r="Z13" s="286">
        <f aca="true" t="shared" si="16" ref="Z13:Z32">SUM(R13:Y13)</f>
        <v>6901.092599999999</v>
      </c>
      <c r="AA13" s="285">
        <f aca="true" t="shared" si="17" ref="AA13:AA32">O13*0.22</f>
        <v>3982</v>
      </c>
      <c r="AB13" s="281">
        <f aca="true" t="shared" si="18" ref="AB13:AB32">Q13*0.22</f>
        <v>330.50600000000003</v>
      </c>
      <c r="AC13" s="281">
        <f aca="true" t="shared" si="19" ref="AC13:AC32">O13*0.029</f>
        <v>524.9</v>
      </c>
      <c r="AD13" s="281">
        <f aca="true" t="shared" si="20" ref="AD13:AD32">Q13*0.029</f>
        <v>43.566700000000004</v>
      </c>
      <c r="AE13" s="281">
        <f aca="true" t="shared" si="21" ref="AE13:AE32">O13*0.051</f>
        <v>923.0999999999999</v>
      </c>
      <c r="AF13" s="281">
        <f aca="true" t="shared" si="22" ref="AF13:AF32">Q13*0.051</f>
        <v>76.6173</v>
      </c>
      <c r="AG13" s="281">
        <f aca="true" t="shared" si="23" ref="AG13:AG32">O13*0.002</f>
        <v>36.2</v>
      </c>
      <c r="AH13" s="281">
        <f aca="true" t="shared" si="24" ref="AH13:AH32">Q13*0.002</f>
        <v>3.0046000000000004</v>
      </c>
      <c r="AI13" s="286">
        <f aca="true" t="shared" si="25" ref="AI13:AI32">SUM(AA13:AH13)</f>
        <v>5919.8946000000005</v>
      </c>
      <c r="AJ13" s="237">
        <f aca="true" t="shared" si="26" ref="AJ13:AJ32">J13*0.22</f>
        <v>8624</v>
      </c>
      <c r="AK13" s="238">
        <f aca="true" t="shared" si="27" ref="AK13:AK32">K13*0.22</f>
        <v>715.792</v>
      </c>
      <c r="AL13" s="238">
        <f aca="true" t="shared" si="28" ref="AL13:AL32">J13*0.029</f>
        <v>1136.8</v>
      </c>
      <c r="AM13" s="238">
        <f aca="true" t="shared" si="29" ref="AM13:AM32">K13*0.029</f>
        <v>94.35440000000001</v>
      </c>
      <c r="AN13" s="238">
        <f aca="true" t="shared" si="30" ref="AN13:AN32">J13*0.051</f>
        <v>1999.1999999999998</v>
      </c>
      <c r="AO13" s="238">
        <f aca="true" t="shared" si="31" ref="AO13:AO32">K13*0.051</f>
        <v>165.9336</v>
      </c>
      <c r="AP13" s="238">
        <f aca="true" t="shared" si="32" ref="AP13:AP32">J13*0.002</f>
        <v>78.4</v>
      </c>
      <c r="AQ13" s="238">
        <f aca="true" t="shared" si="33" ref="AQ13:AQ32">K13*0.002</f>
        <v>6.507200000000001</v>
      </c>
      <c r="AR13" s="302">
        <f aca="true" t="shared" si="34" ref="AR13:AR32">AO13+L13+AJ13+AK13+AL13+AM13+AN13+AP13+AQ13</f>
        <v>55274.587199999994</v>
      </c>
      <c r="AS13" s="311">
        <f aca="true" t="shared" si="35" ref="AS13:AS32">L13+Z13+AI13-L13*1.202</f>
        <v>4245.360000000001</v>
      </c>
      <c r="AT13" s="303">
        <f aca="true" t="shared" si="36" ref="AT13:AT32">AR13</f>
        <v>55274.587199999994</v>
      </c>
      <c r="AU13" s="298"/>
      <c r="AW13" s="298"/>
    </row>
    <row r="14" spans="1:49" ht="15.75">
      <c r="A14" s="58" t="s">
        <v>32</v>
      </c>
      <c r="B14" s="8" t="s">
        <v>33</v>
      </c>
      <c r="C14" s="7">
        <v>1</v>
      </c>
      <c r="D14" s="491">
        <v>27300</v>
      </c>
      <c r="E14" s="491"/>
      <c r="F14" s="491"/>
      <c r="G14" s="491"/>
      <c r="H14" s="487">
        <f t="shared" si="0"/>
        <v>27300</v>
      </c>
      <c r="I14" s="488">
        <f t="shared" si="1"/>
        <v>23751</v>
      </c>
      <c r="J14" s="489">
        <f t="shared" si="2"/>
        <v>27300</v>
      </c>
      <c r="K14" s="490">
        <f t="shared" si="3"/>
        <v>2265.9</v>
      </c>
      <c r="L14" s="265">
        <f t="shared" si="4"/>
        <v>29565.9</v>
      </c>
      <c r="M14" s="231"/>
      <c r="N14" s="272">
        <f t="shared" si="5"/>
        <v>27300</v>
      </c>
      <c r="O14" s="277"/>
      <c r="P14" s="278">
        <f t="shared" si="6"/>
        <v>2265.9</v>
      </c>
      <c r="Q14" s="279"/>
      <c r="R14" s="285">
        <f t="shared" si="8"/>
        <v>6006</v>
      </c>
      <c r="S14" s="280">
        <f t="shared" si="9"/>
        <v>498.49800000000005</v>
      </c>
      <c r="T14" s="281">
        <f t="shared" si="10"/>
        <v>791.7</v>
      </c>
      <c r="U14" s="281">
        <f t="shared" si="11"/>
        <v>65.7111</v>
      </c>
      <c r="V14" s="281">
        <f t="shared" si="12"/>
        <v>1392.3</v>
      </c>
      <c r="W14" s="281">
        <f t="shared" si="13"/>
        <v>115.5609</v>
      </c>
      <c r="X14" s="281">
        <f t="shared" si="14"/>
        <v>54.6</v>
      </c>
      <c r="Y14" s="281">
        <f t="shared" si="15"/>
        <v>4.5318000000000005</v>
      </c>
      <c r="Z14" s="286">
        <f t="shared" si="16"/>
        <v>8928.901800000001</v>
      </c>
      <c r="AA14" s="285"/>
      <c r="AB14" s="281"/>
      <c r="AC14" s="281"/>
      <c r="AD14" s="281"/>
      <c r="AE14" s="281"/>
      <c r="AF14" s="281"/>
      <c r="AG14" s="281"/>
      <c r="AH14" s="281"/>
      <c r="AI14" s="286"/>
      <c r="AJ14" s="237">
        <f t="shared" si="26"/>
        <v>6006</v>
      </c>
      <c r="AK14" s="238">
        <f t="shared" si="27"/>
        <v>498.49800000000005</v>
      </c>
      <c r="AL14" s="238">
        <f t="shared" si="28"/>
        <v>791.7</v>
      </c>
      <c r="AM14" s="238">
        <f t="shared" si="29"/>
        <v>65.7111</v>
      </c>
      <c r="AN14" s="238">
        <f t="shared" si="30"/>
        <v>1392.3</v>
      </c>
      <c r="AO14" s="238">
        <f t="shared" si="31"/>
        <v>115.5609</v>
      </c>
      <c r="AP14" s="238">
        <f t="shared" si="32"/>
        <v>54.6</v>
      </c>
      <c r="AQ14" s="238">
        <f t="shared" si="33"/>
        <v>4.5318000000000005</v>
      </c>
      <c r="AR14" s="302">
        <f t="shared" si="34"/>
        <v>38494.8018</v>
      </c>
      <c r="AS14" s="311">
        <f t="shared" si="35"/>
        <v>2956.590000000004</v>
      </c>
      <c r="AT14" s="303">
        <f t="shared" si="36"/>
        <v>38494.8018</v>
      </c>
      <c r="AU14" s="847">
        <f>AT14+AT15</f>
        <v>76989.6036</v>
      </c>
      <c r="AV14" s="299">
        <v>65600</v>
      </c>
      <c r="AW14" s="299">
        <f>AT14+AT15-AV14</f>
        <v>11389.603600000002</v>
      </c>
    </row>
    <row r="15" spans="1:49" ht="15.75">
      <c r="A15" s="58" t="s">
        <v>34</v>
      </c>
      <c r="B15" s="8" t="s">
        <v>33</v>
      </c>
      <c r="C15" s="7">
        <v>1</v>
      </c>
      <c r="D15" s="491">
        <v>12000</v>
      </c>
      <c r="E15" s="491">
        <v>15300</v>
      </c>
      <c r="F15" s="491"/>
      <c r="G15" s="491"/>
      <c r="H15" s="487">
        <f t="shared" si="0"/>
        <v>27300</v>
      </c>
      <c r="I15" s="488">
        <f t="shared" si="1"/>
        <v>23751</v>
      </c>
      <c r="J15" s="489">
        <f t="shared" si="2"/>
        <v>27300</v>
      </c>
      <c r="K15" s="490">
        <f t="shared" si="3"/>
        <v>2265.9</v>
      </c>
      <c r="L15" s="265">
        <f t="shared" si="4"/>
        <v>29565.9</v>
      </c>
      <c r="M15" s="231"/>
      <c r="N15" s="272">
        <f t="shared" si="5"/>
        <v>12000</v>
      </c>
      <c r="O15" s="277">
        <f>C15*E15</f>
        <v>15300</v>
      </c>
      <c r="P15" s="278">
        <f t="shared" si="6"/>
        <v>996</v>
      </c>
      <c r="Q15" s="279">
        <f t="shared" si="7"/>
        <v>1269.9</v>
      </c>
      <c r="R15" s="285">
        <f t="shared" si="8"/>
        <v>2640</v>
      </c>
      <c r="S15" s="280">
        <f t="shared" si="9"/>
        <v>219.12</v>
      </c>
      <c r="T15" s="281">
        <f t="shared" si="10"/>
        <v>348</v>
      </c>
      <c r="U15" s="281">
        <f t="shared" si="11"/>
        <v>28.884</v>
      </c>
      <c r="V15" s="281">
        <f t="shared" si="12"/>
        <v>612</v>
      </c>
      <c r="W15" s="281">
        <f t="shared" si="13"/>
        <v>50.796</v>
      </c>
      <c r="X15" s="281">
        <f t="shared" si="14"/>
        <v>24</v>
      </c>
      <c r="Y15" s="281">
        <f t="shared" si="15"/>
        <v>1.992</v>
      </c>
      <c r="Z15" s="286">
        <f t="shared" si="16"/>
        <v>3924.792</v>
      </c>
      <c r="AA15" s="285">
        <f t="shared" si="17"/>
        <v>3366</v>
      </c>
      <c r="AB15" s="281">
        <f t="shared" si="18"/>
        <v>279.37800000000004</v>
      </c>
      <c r="AC15" s="281">
        <f t="shared" si="19"/>
        <v>443.70000000000005</v>
      </c>
      <c r="AD15" s="281">
        <f t="shared" si="20"/>
        <v>36.8271</v>
      </c>
      <c r="AE15" s="281">
        <f t="shared" si="21"/>
        <v>780.3</v>
      </c>
      <c r="AF15" s="281">
        <f t="shared" si="22"/>
        <v>64.7649</v>
      </c>
      <c r="AG15" s="281">
        <f t="shared" si="23"/>
        <v>30.6</v>
      </c>
      <c r="AH15" s="281">
        <f t="shared" si="24"/>
        <v>2.5398</v>
      </c>
      <c r="AI15" s="286">
        <f t="shared" si="25"/>
        <v>5004.109800000001</v>
      </c>
      <c r="AJ15" s="237">
        <f t="shared" si="26"/>
        <v>6006</v>
      </c>
      <c r="AK15" s="238">
        <f t="shared" si="27"/>
        <v>498.49800000000005</v>
      </c>
      <c r="AL15" s="238">
        <f t="shared" si="28"/>
        <v>791.7</v>
      </c>
      <c r="AM15" s="238">
        <f t="shared" si="29"/>
        <v>65.7111</v>
      </c>
      <c r="AN15" s="238">
        <f t="shared" si="30"/>
        <v>1392.3</v>
      </c>
      <c r="AO15" s="238">
        <f t="shared" si="31"/>
        <v>115.5609</v>
      </c>
      <c r="AP15" s="238">
        <f t="shared" si="32"/>
        <v>54.6</v>
      </c>
      <c r="AQ15" s="238">
        <f t="shared" si="33"/>
        <v>4.5318000000000005</v>
      </c>
      <c r="AR15" s="302">
        <f t="shared" si="34"/>
        <v>38494.8018</v>
      </c>
      <c r="AS15" s="311">
        <f t="shared" si="35"/>
        <v>2956.590000000004</v>
      </c>
      <c r="AT15" s="303">
        <f t="shared" si="36"/>
        <v>38494.8018</v>
      </c>
      <c r="AU15" s="848"/>
      <c r="AV15" s="298"/>
      <c r="AW15" s="299"/>
    </row>
    <row r="16" spans="1:49" ht="15.75">
      <c r="A16" s="59" t="s">
        <v>35</v>
      </c>
      <c r="B16" s="10" t="s">
        <v>36</v>
      </c>
      <c r="C16" s="9">
        <v>1</v>
      </c>
      <c r="D16" s="492">
        <v>12100</v>
      </c>
      <c r="E16" s="492"/>
      <c r="F16" s="492"/>
      <c r="G16" s="492"/>
      <c r="H16" s="487">
        <f t="shared" si="0"/>
        <v>12100</v>
      </c>
      <c r="I16" s="488">
        <f t="shared" si="1"/>
        <v>10527</v>
      </c>
      <c r="J16" s="489">
        <f t="shared" si="2"/>
        <v>12100</v>
      </c>
      <c r="K16" s="490">
        <f t="shared" si="3"/>
        <v>1004.3000000000001</v>
      </c>
      <c r="L16" s="265">
        <f t="shared" si="4"/>
        <v>13104.3</v>
      </c>
      <c r="M16" s="231"/>
      <c r="N16" s="272">
        <f t="shared" si="5"/>
        <v>12100</v>
      </c>
      <c r="O16" s="277"/>
      <c r="P16" s="278">
        <f t="shared" si="6"/>
        <v>1004.3000000000001</v>
      </c>
      <c r="Q16" s="279"/>
      <c r="R16" s="285">
        <f t="shared" si="8"/>
        <v>2662</v>
      </c>
      <c r="S16" s="280">
        <f t="shared" si="9"/>
        <v>220.94600000000003</v>
      </c>
      <c r="T16" s="281">
        <f t="shared" si="10"/>
        <v>350.90000000000003</v>
      </c>
      <c r="U16" s="281">
        <f t="shared" si="11"/>
        <v>29.124700000000004</v>
      </c>
      <c r="V16" s="281">
        <f t="shared" si="12"/>
        <v>617.0999999999999</v>
      </c>
      <c r="W16" s="281">
        <f t="shared" si="13"/>
        <v>51.2193</v>
      </c>
      <c r="X16" s="281">
        <f t="shared" si="14"/>
        <v>24.2</v>
      </c>
      <c r="Y16" s="281">
        <f t="shared" si="15"/>
        <v>2.0086000000000004</v>
      </c>
      <c r="Z16" s="286">
        <f t="shared" si="16"/>
        <v>3957.4986</v>
      </c>
      <c r="AA16" s="285"/>
      <c r="AB16" s="281"/>
      <c r="AC16" s="281"/>
      <c r="AD16" s="281"/>
      <c r="AE16" s="281"/>
      <c r="AF16" s="281"/>
      <c r="AG16" s="281"/>
      <c r="AH16" s="281"/>
      <c r="AI16" s="286"/>
      <c r="AJ16" s="237">
        <f t="shared" si="26"/>
        <v>2662</v>
      </c>
      <c r="AK16" s="238">
        <f t="shared" si="27"/>
        <v>220.94600000000003</v>
      </c>
      <c r="AL16" s="238">
        <f t="shared" si="28"/>
        <v>350.90000000000003</v>
      </c>
      <c r="AM16" s="238">
        <f t="shared" si="29"/>
        <v>29.124700000000004</v>
      </c>
      <c r="AN16" s="238">
        <f t="shared" si="30"/>
        <v>617.0999999999999</v>
      </c>
      <c r="AO16" s="238">
        <f t="shared" si="31"/>
        <v>51.2193</v>
      </c>
      <c r="AP16" s="238">
        <f t="shared" si="32"/>
        <v>24.2</v>
      </c>
      <c r="AQ16" s="238">
        <f t="shared" si="33"/>
        <v>2.0086000000000004</v>
      </c>
      <c r="AR16" s="302">
        <f t="shared" si="34"/>
        <v>17061.798600000002</v>
      </c>
      <c r="AS16" s="311">
        <f t="shared" si="35"/>
        <v>1310.4300000000003</v>
      </c>
      <c r="AT16" s="303">
        <f t="shared" si="36"/>
        <v>17061.798600000002</v>
      </c>
      <c r="AU16" s="298"/>
      <c r="AV16" s="298"/>
      <c r="AW16" s="299"/>
    </row>
    <row r="17" spans="1:49" ht="15.75">
      <c r="A17" s="59" t="s">
        <v>37</v>
      </c>
      <c r="B17" s="10" t="s">
        <v>352</v>
      </c>
      <c r="C17" s="9">
        <v>1</v>
      </c>
      <c r="D17" s="492">
        <v>13800</v>
      </c>
      <c r="E17" s="492">
        <v>8800</v>
      </c>
      <c r="F17" s="492"/>
      <c r="G17" s="492"/>
      <c r="H17" s="487">
        <f t="shared" si="0"/>
        <v>22600</v>
      </c>
      <c r="I17" s="488">
        <f t="shared" si="1"/>
        <v>19662</v>
      </c>
      <c r="J17" s="489">
        <f t="shared" si="2"/>
        <v>22600</v>
      </c>
      <c r="K17" s="490">
        <f t="shared" si="3"/>
        <v>1875.8000000000002</v>
      </c>
      <c r="L17" s="265">
        <f t="shared" si="4"/>
        <v>24475.8</v>
      </c>
      <c r="M17" s="231"/>
      <c r="N17" s="272">
        <f t="shared" si="5"/>
        <v>13800</v>
      </c>
      <c r="O17" s="277">
        <f>C17*E17</f>
        <v>8800</v>
      </c>
      <c r="P17" s="278">
        <f t="shared" si="6"/>
        <v>1145.4</v>
      </c>
      <c r="Q17" s="279">
        <f t="shared" si="7"/>
        <v>730.4000000000001</v>
      </c>
      <c r="R17" s="285">
        <f t="shared" si="8"/>
        <v>3036</v>
      </c>
      <c r="S17" s="280">
        <f t="shared" si="9"/>
        <v>251.98800000000003</v>
      </c>
      <c r="T17" s="281">
        <f t="shared" si="10"/>
        <v>400.20000000000005</v>
      </c>
      <c r="U17" s="281">
        <f t="shared" si="11"/>
        <v>33.21660000000001</v>
      </c>
      <c r="V17" s="281">
        <f t="shared" si="12"/>
        <v>703.8</v>
      </c>
      <c r="W17" s="281">
        <f t="shared" si="13"/>
        <v>58.4154</v>
      </c>
      <c r="X17" s="281">
        <f t="shared" si="14"/>
        <v>27.6</v>
      </c>
      <c r="Y17" s="281">
        <f t="shared" si="15"/>
        <v>2.2908000000000004</v>
      </c>
      <c r="Z17" s="286">
        <f t="shared" si="16"/>
        <v>4513.5108</v>
      </c>
      <c r="AA17" s="285">
        <f t="shared" si="17"/>
        <v>1936</v>
      </c>
      <c r="AB17" s="281">
        <f t="shared" si="18"/>
        <v>160.68800000000002</v>
      </c>
      <c r="AC17" s="281">
        <f t="shared" si="19"/>
        <v>255.20000000000002</v>
      </c>
      <c r="AD17" s="281">
        <f t="shared" si="20"/>
        <v>21.181600000000003</v>
      </c>
      <c r="AE17" s="281">
        <f t="shared" si="21"/>
        <v>448.79999999999995</v>
      </c>
      <c r="AF17" s="281">
        <f t="shared" si="22"/>
        <v>37.2504</v>
      </c>
      <c r="AG17" s="281">
        <f t="shared" si="23"/>
        <v>17.6</v>
      </c>
      <c r="AH17" s="281">
        <f t="shared" si="24"/>
        <v>1.4608000000000003</v>
      </c>
      <c r="AI17" s="286">
        <f t="shared" si="25"/>
        <v>2878.1807999999996</v>
      </c>
      <c r="AJ17" s="237">
        <f t="shared" si="26"/>
        <v>4972</v>
      </c>
      <c r="AK17" s="238">
        <f t="shared" si="27"/>
        <v>412.67600000000004</v>
      </c>
      <c r="AL17" s="238">
        <f t="shared" si="28"/>
        <v>655.4</v>
      </c>
      <c r="AM17" s="238">
        <f t="shared" si="29"/>
        <v>54.39820000000001</v>
      </c>
      <c r="AN17" s="238">
        <f t="shared" si="30"/>
        <v>1152.6</v>
      </c>
      <c r="AO17" s="238">
        <f t="shared" si="31"/>
        <v>95.6658</v>
      </c>
      <c r="AP17" s="238">
        <f t="shared" si="32"/>
        <v>45.2</v>
      </c>
      <c r="AQ17" s="238">
        <f t="shared" si="33"/>
        <v>3.7516000000000003</v>
      </c>
      <c r="AR17" s="302">
        <f t="shared" si="34"/>
        <v>31867.491599999998</v>
      </c>
      <c r="AS17" s="311">
        <f t="shared" si="35"/>
        <v>2447.579999999998</v>
      </c>
      <c r="AT17" s="303">
        <f>AR17</f>
        <v>31867.491599999998</v>
      </c>
      <c r="AU17" s="298"/>
      <c r="AV17" s="298">
        <v>20000</v>
      </c>
      <c r="AW17" s="299">
        <f>AT17:AT18-AV17</f>
        <v>11867.491599999998</v>
      </c>
    </row>
    <row r="18" spans="1:49" ht="15.75">
      <c r="A18" s="60" t="s">
        <v>39</v>
      </c>
      <c r="B18" s="11" t="s">
        <v>40</v>
      </c>
      <c r="C18" s="9">
        <v>3</v>
      </c>
      <c r="D18" s="492">
        <v>19600</v>
      </c>
      <c r="E18" s="492"/>
      <c r="F18" s="492"/>
      <c r="G18" s="492"/>
      <c r="H18" s="487">
        <f t="shared" si="0"/>
        <v>19600</v>
      </c>
      <c r="I18" s="488">
        <f t="shared" si="1"/>
        <v>17052</v>
      </c>
      <c r="J18" s="489">
        <f t="shared" si="2"/>
        <v>58800</v>
      </c>
      <c r="K18" s="490">
        <f t="shared" si="3"/>
        <v>4880.400000000001</v>
      </c>
      <c r="L18" s="265">
        <f t="shared" si="4"/>
        <v>63680.4</v>
      </c>
      <c r="M18" s="231"/>
      <c r="N18" s="272">
        <f t="shared" si="5"/>
        <v>58800</v>
      </c>
      <c r="O18" s="277"/>
      <c r="P18" s="278">
        <f t="shared" si="6"/>
        <v>4880.400000000001</v>
      </c>
      <c r="Q18" s="279"/>
      <c r="R18" s="285">
        <f t="shared" si="8"/>
        <v>12936</v>
      </c>
      <c r="S18" s="280">
        <f t="shared" si="9"/>
        <v>1073.688</v>
      </c>
      <c r="T18" s="281">
        <f t="shared" si="10"/>
        <v>1705.2</v>
      </c>
      <c r="U18" s="281">
        <f t="shared" si="11"/>
        <v>141.53160000000003</v>
      </c>
      <c r="V18" s="281">
        <f t="shared" si="12"/>
        <v>2998.7999999999997</v>
      </c>
      <c r="W18" s="281">
        <f t="shared" si="13"/>
        <v>248.90040000000002</v>
      </c>
      <c r="X18" s="281">
        <f t="shared" si="14"/>
        <v>117.60000000000001</v>
      </c>
      <c r="Y18" s="281">
        <f t="shared" si="15"/>
        <v>9.760800000000001</v>
      </c>
      <c r="Z18" s="286">
        <f t="shared" si="16"/>
        <v>19231.480799999998</v>
      </c>
      <c r="AA18" s="285"/>
      <c r="AB18" s="281"/>
      <c r="AC18" s="281"/>
      <c r="AD18" s="281"/>
      <c r="AE18" s="281"/>
      <c r="AF18" s="281"/>
      <c r="AG18" s="281"/>
      <c r="AH18" s="281"/>
      <c r="AI18" s="286"/>
      <c r="AJ18" s="237">
        <f t="shared" si="26"/>
        <v>12936</v>
      </c>
      <c r="AK18" s="238">
        <f t="shared" si="27"/>
        <v>1073.688</v>
      </c>
      <c r="AL18" s="238">
        <f t="shared" si="28"/>
        <v>1705.2</v>
      </c>
      <c r="AM18" s="238">
        <f t="shared" si="29"/>
        <v>141.53160000000003</v>
      </c>
      <c r="AN18" s="238">
        <f t="shared" si="30"/>
        <v>2998.7999999999997</v>
      </c>
      <c r="AO18" s="238">
        <f t="shared" si="31"/>
        <v>248.90040000000002</v>
      </c>
      <c r="AP18" s="238">
        <f t="shared" si="32"/>
        <v>117.60000000000001</v>
      </c>
      <c r="AQ18" s="238">
        <f t="shared" si="33"/>
        <v>9.760800000000001</v>
      </c>
      <c r="AR18" s="302">
        <f t="shared" si="34"/>
        <v>82911.88080000001</v>
      </c>
      <c r="AS18" s="311">
        <f t="shared" si="35"/>
        <v>6368.039999999994</v>
      </c>
      <c r="AT18" s="303">
        <f t="shared" si="36"/>
        <v>82911.88080000001</v>
      </c>
      <c r="AU18" s="298"/>
      <c r="AV18" s="298"/>
      <c r="AW18" s="298"/>
    </row>
    <row r="19" spans="1:49" ht="15.75">
      <c r="A19" s="61" t="s">
        <v>41</v>
      </c>
      <c r="B19" s="11" t="s">
        <v>40</v>
      </c>
      <c r="C19" s="9">
        <v>1</v>
      </c>
      <c r="D19" s="492"/>
      <c r="E19" s="492">
        <v>19600</v>
      </c>
      <c r="F19" s="492"/>
      <c r="G19" s="492"/>
      <c r="H19" s="487">
        <f t="shared" si="0"/>
        <v>19600</v>
      </c>
      <c r="I19" s="488">
        <f t="shared" si="1"/>
        <v>17052</v>
      </c>
      <c r="J19" s="489">
        <f t="shared" si="2"/>
        <v>19600</v>
      </c>
      <c r="K19" s="490">
        <f t="shared" si="3"/>
        <v>1626.8000000000002</v>
      </c>
      <c r="L19" s="265">
        <f t="shared" si="4"/>
        <v>21226.8</v>
      </c>
      <c r="M19" s="231"/>
      <c r="N19" s="272"/>
      <c r="O19" s="277">
        <f>C19*E19</f>
        <v>19600</v>
      </c>
      <c r="P19" s="278"/>
      <c r="Q19" s="279">
        <f t="shared" si="7"/>
        <v>1626.8000000000002</v>
      </c>
      <c r="R19" s="285"/>
      <c r="S19" s="280"/>
      <c r="T19" s="281"/>
      <c r="U19" s="281"/>
      <c r="V19" s="281"/>
      <c r="W19" s="281"/>
      <c r="X19" s="281"/>
      <c r="Y19" s="281"/>
      <c r="Z19" s="286"/>
      <c r="AA19" s="285">
        <f t="shared" si="17"/>
        <v>4312</v>
      </c>
      <c r="AB19" s="281">
        <f t="shared" si="18"/>
        <v>357.896</v>
      </c>
      <c r="AC19" s="281">
        <f t="shared" si="19"/>
        <v>568.4</v>
      </c>
      <c r="AD19" s="281">
        <f t="shared" si="20"/>
        <v>47.177200000000006</v>
      </c>
      <c r="AE19" s="281">
        <f t="shared" si="21"/>
        <v>999.5999999999999</v>
      </c>
      <c r="AF19" s="281">
        <f t="shared" si="22"/>
        <v>82.9668</v>
      </c>
      <c r="AG19" s="281">
        <f t="shared" si="23"/>
        <v>39.2</v>
      </c>
      <c r="AH19" s="281">
        <f t="shared" si="24"/>
        <v>3.2536000000000005</v>
      </c>
      <c r="AI19" s="286">
        <f t="shared" si="25"/>
        <v>6410.493599999999</v>
      </c>
      <c r="AJ19" s="237">
        <f t="shared" si="26"/>
        <v>4312</v>
      </c>
      <c r="AK19" s="238">
        <f t="shared" si="27"/>
        <v>357.896</v>
      </c>
      <c r="AL19" s="238">
        <f t="shared" si="28"/>
        <v>568.4</v>
      </c>
      <c r="AM19" s="238">
        <f t="shared" si="29"/>
        <v>47.177200000000006</v>
      </c>
      <c r="AN19" s="238">
        <f t="shared" si="30"/>
        <v>999.5999999999999</v>
      </c>
      <c r="AO19" s="238">
        <f t="shared" si="31"/>
        <v>82.9668</v>
      </c>
      <c r="AP19" s="238">
        <f t="shared" si="32"/>
        <v>39.2</v>
      </c>
      <c r="AQ19" s="238">
        <f t="shared" si="33"/>
        <v>3.2536000000000005</v>
      </c>
      <c r="AR19" s="302">
        <f t="shared" si="34"/>
        <v>27637.293599999997</v>
      </c>
      <c r="AS19" s="311">
        <f t="shared" si="35"/>
        <v>2122.6800000000003</v>
      </c>
      <c r="AT19" s="303">
        <f t="shared" si="36"/>
        <v>27637.293599999997</v>
      </c>
      <c r="AU19" s="298"/>
      <c r="AV19" s="298"/>
      <c r="AW19" s="298"/>
    </row>
    <row r="20" spans="1:49" ht="31.5">
      <c r="A20" s="62" t="s">
        <v>42</v>
      </c>
      <c r="B20" s="12" t="s">
        <v>43</v>
      </c>
      <c r="C20" s="7">
        <v>1</v>
      </c>
      <c r="D20" s="491">
        <v>19600</v>
      </c>
      <c r="E20" s="491">
        <v>6300</v>
      </c>
      <c r="F20" s="491"/>
      <c r="G20" s="491"/>
      <c r="H20" s="487">
        <f t="shared" si="0"/>
        <v>25900</v>
      </c>
      <c r="I20" s="488">
        <f t="shared" si="1"/>
        <v>22533</v>
      </c>
      <c r="J20" s="489">
        <f t="shared" si="2"/>
        <v>25900</v>
      </c>
      <c r="K20" s="490">
        <f t="shared" si="3"/>
        <v>2149.7000000000003</v>
      </c>
      <c r="L20" s="265">
        <f t="shared" si="4"/>
        <v>28049.7</v>
      </c>
      <c r="M20" s="231"/>
      <c r="N20" s="272">
        <f t="shared" si="5"/>
        <v>19600</v>
      </c>
      <c r="O20" s="277">
        <f>C20*E20</f>
        <v>6300</v>
      </c>
      <c r="P20" s="278">
        <f t="shared" si="6"/>
        <v>1626.8000000000002</v>
      </c>
      <c r="Q20" s="279">
        <f t="shared" si="7"/>
        <v>522.9</v>
      </c>
      <c r="R20" s="285">
        <f t="shared" si="8"/>
        <v>4312</v>
      </c>
      <c r="S20" s="280">
        <f t="shared" si="9"/>
        <v>357.896</v>
      </c>
      <c r="T20" s="281">
        <f t="shared" si="10"/>
        <v>568.4</v>
      </c>
      <c r="U20" s="281">
        <f t="shared" si="11"/>
        <v>47.177200000000006</v>
      </c>
      <c r="V20" s="281">
        <f t="shared" si="12"/>
        <v>999.5999999999999</v>
      </c>
      <c r="W20" s="281">
        <f t="shared" si="13"/>
        <v>82.9668</v>
      </c>
      <c r="X20" s="281">
        <f t="shared" si="14"/>
        <v>39.2</v>
      </c>
      <c r="Y20" s="281">
        <f t="shared" si="15"/>
        <v>3.2536000000000005</v>
      </c>
      <c r="Z20" s="286">
        <f t="shared" si="16"/>
        <v>6410.493599999999</v>
      </c>
      <c r="AA20" s="285">
        <f t="shared" si="17"/>
        <v>1386</v>
      </c>
      <c r="AB20" s="281">
        <f t="shared" si="18"/>
        <v>115.038</v>
      </c>
      <c r="AC20" s="281">
        <f t="shared" si="19"/>
        <v>182.70000000000002</v>
      </c>
      <c r="AD20" s="281">
        <f t="shared" si="20"/>
        <v>15.1641</v>
      </c>
      <c r="AE20" s="281">
        <f t="shared" si="21"/>
        <v>321.29999999999995</v>
      </c>
      <c r="AF20" s="281">
        <f t="shared" si="22"/>
        <v>26.667899999999996</v>
      </c>
      <c r="AG20" s="281">
        <f t="shared" si="23"/>
        <v>12.6</v>
      </c>
      <c r="AH20" s="281">
        <f t="shared" si="24"/>
        <v>1.0458</v>
      </c>
      <c r="AI20" s="286">
        <f t="shared" si="25"/>
        <v>2060.5157999999997</v>
      </c>
      <c r="AJ20" s="237">
        <f t="shared" si="26"/>
        <v>5698</v>
      </c>
      <c r="AK20" s="238">
        <f t="shared" si="27"/>
        <v>472.9340000000001</v>
      </c>
      <c r="AL20" s="238">
        <f t="shared" si="28"/>
        <v>751.1</v>
      </c>
      <c r="AM20" s="238">
        <f t="shared" si="29"/>
        <v>62.34130000000001</v>
      </c>
      <c r="AN20" s="238">
        <f t="shared" si="30"/>
        <v>1320.8999999999999</v>
      </c>
      <c r="AO20" s="238">
        <f t="shared" si="31"/>
        <v>109.63470000000001</v>
      </c>
      <c r="AP20" s="238">
        <f t="shared" si="32"/>
        <v>51.800000000000004</v>
      </c>
      <c r="AQ20" s="238">
        <f t="shared" si="33"/>
        <v>4.2994</v>
      </c>
      <c r="AR20" s="302">
        <f t="shared" si="34"/>
        <v>36520.70940000001</v>
      </c>
      <c r="AS20" s="311">
        <f t="shared" si="35"/>
        <v>2804.970000000001</v>
      </c>
      <c r="AT20" s="303">
        <f t="shared" si="36"/>
        <v>36520.70940000001</v>
      </c>
      <c r="AU20" s="298"/>
      <c r="AV20" s="298"/>
      <c r="AW20" s="298"/>
    </row>
    <row r="21" spans="1:49" ht="15.75">
      <c r="A21" s="61" t="s">
        <v>44</v>
      </c>
      <c r="B21" s="11" t="s">
        <v>45</v>
      </c>
      <c r="C21" s="13">
        <v>1</v>
      </c>
      <c r="D21" s="486">
        <v>12600</v>
      </c>
      <c r="E21" s="486">
        <v>7000</v>
      </c>
      <c r="F21" s="486"/>
      <c r="G21" s="486">
        <v>6300</v>
      </c>
      <c r="H21" s="487">
        <f aca="true" t="shared" si="37" ref="H21:H26">D21+E21+F21+G21</f>
        <v>25900</v>
      </c>
      <c r="I21" s="488">
        <f t="shared" si="1"/>
        <v>22533</v>
      </c>
      <c r="J21" s="489">
        <f>H21*C21</f>
        <v>25900</v>
      </c>
      <c r="K21" s="490">
        <f t="shared" si="3"/>
        <v>2149.7000000000003</v>
      </c>
      <c r="L21" s="265">
        <f t="shared" si="4"/>
        <v>28049.7</v>
      </c>
      <c r="M21" s="231"/>
      <c r="N21" s="272">
        <f>(D21+G21)*C21</f>
        <v>18900</v>
      </c>
      <c r="O21" s="272">
        <f>E21*C21</f>
        <v>7000</v>
      </c>
      <c r="P21" s="278">
        <f>N21*0.083</f>
        <v>1568.7</v>
      </c>
      <c r="Q21" s="279">
        <f>O21*0.083</f>
        <v>581</v>
      </c>
      <c r="R21" s="285">
        <f t="shared" si="8"/>
        <v>4158</v>
      </c>
      <c r="S21" s="280">
        <f t="shared" si="9"/>
        <v>345.11400000000003</v>
      </c>
      <c r="T21" s="281">
        <f t="shared" si="10"/>
        <v>548.1</v>
      </c>
      <c r="U21" s="281">
        <f t="shared" si="11"/>
        <v>45.4923</v>
      </c>
      <c r="V21" s="281">
        <f t="shared" si="12"/>
        <v>963.9</v>
      </c>
      <c r="W21" s="281">
        <f t="shared" si="13"/>
        <v>80.0037</v>
      </c>
      <c r="X21" s="281">
        <f t="shared" si="14"/>
        <v>37.800000000000004</v>
      </c>
      <c r="Y21" s="281">
        <f t="shared" si="15"/>
        <v>3.1374</v>
      </c>
      <c r="Z21" s="286">
        <f t="shared" si="16"/>
        <v>6181.5473999999995</v>
      </c>
      <c r="AA21" s="285">
        <f t="shared" si="17"/>
        <v>1540</v>
      </c>
      <c r="AB21" s="281">
        <f t="shared" si="18"/>
        <v>127.82000000000001</v>
      </c>
      <c r="AC21" s="281">
        <f t="shared" si="19"/>
        <v>203</v>
      </c>
      <c r="AD21" s="281">
        <f t="shared" si="20"/>
        <v>16.849</v>
      </c>
      <c r="AE21" s="281">
        <f t="shared" si="21"/>
        <v>357</v>
      </c>
      <c r="AF21" s="281">
        <f t="shared" si="22"/>
        <v>29.630999999999997</v>
      </c>
      <c r="AG21" s="281">
        <f t="shared" si="23"/>
        <v>14</v>
      </c>
      <c r="AH21" s="281">
        <f t="shared" si="24"/>
        <v>1.162</v>
      </c>
      <c r="AI21" s="286">
        <f t="shared" si="25"/>
        <v>2289.4619999999995</v>
      </c>
      <c r="AJ21" s="237">
        <f t="shared" si="26"/>
        <v>5698</v>
      </c>
      <c r="AK21" s="238">
        <f t="shared" si="27"/>
        <v>472.9340000000001</v>
      </c>
      <c r="AL21" s="238">
        <f t="shared" si="28"/>
        <v>751.1</v>
      </c>
      <c r="AM21" s="238">
        <f t="shared" si="29"/>
        <v>62.34130000000001</v>
      </c>
      <c r="AN21" s="238">
        <f t="shared" si="30"/>
        <v>1320.8999999999999</v>
      </c>
      <c r="AO21" s="238">
        <f t="shared" si="31"/>
        <v>109.63470000000001</v>
      </c>
      <c r="AP21" s="238">
        <f t="shared" si="32"/>
        <v>51.800000000000004</v>
      </c>
      <c r="AQ21" s="238">
        <f t="shared" si="33"/>
        <v>4.2994</v>
      </c>
      <c r="AR21" s="302">
        <f t="shared" si="34"/>
        <v>36520.70940000001</v>
      </c>
      <c r="AS21" s="311">
        <f t="shared" si="35"/>
        <v>2804.970000000001</v>
      </c>
      <c r="AT21" s="303">
        <f t="shared" si="36"/>
        <v>36520.70940000001</v>
      </c>
      <c r="AU21" s="298"/>
      <c r="AV21" s="298">
        <f>((D21+E21)*11/22+67700/12)*1.302</f>
        <v>20105.050000000003</v>
      </c>
      <c r="AW21" s="298">
        <f>AT21-AV21</f>
        <v>16415.659400000004</v>
      </c>
    </row>
    <row r="22" spans="1:49" ht="15.75">
      <c r="A22" s="60" t="s">
        <v>46</v>
      </c>
      <c r="B22" s="14" t="s">
        <v>47</v>
      </c>
      <c r="C22" s="13">
        <v>2</v>
      </c>
      <c r="D22" s="486">
        <v>11400</v>
      </c>
      <c r="E22" s="486">
        <v>3100</v>
      </c>
      <c r="F22" s="486">
        <v>2000</v>
      </c>
      <c r="G22" s="486"/>
      <c r="H22" s="487">
        <f t="shared" si="37"/>
        <v>16500</v>
      </c>
      <c r="I22" s="488">
        <f>H22*0.87</f>
        <v>14355</v>
      </c>
      <c r="J22" s="489">
        <f t="shared" si="2"/>
        <v>33000</v>
      </c>
      <c r="K22" s="490">
        <f t="shared" si="3"/>
        <v>2739</v>
      </c>
      <c r="L22" s="265">
        <f t="shared" si="4"/>
        <v>35739</v>
      </c>
      <c r="M22" s="231"/>
      <c r="N22" s="272">
        <f>(D22+(F22*D22/(D22+E22)))*C22</f>
        <v>25944.8275862069</v>
      </c>
      <c r="O22" s="272">
        <f>(E22+F22*E22/(D22+E22))*C22</f>
        <v>7055.172413793103</v>
      </c>
      <c r="P22" s="278">
        <f t="shared" si="6"/>
        <v>2153.4206896551727</v>
      </c>
      <c r="Q22" s="279">
        <f t="shared" si="7"/>
        <v>585.5793103448276</v>
      </c>
      <c r="R22" s="285">
        <f t="shared" si="8"/>
        <v>5707.862068965518</v>
      </c>
      <c r="S22" s="280">
        <f t="shared" si="9"/>
        <v>473.752551724138</v>
      </c>
      <c r="T22" s="281">
        <f t="shared" si="10"/>
        <v>752.4000000000001</v>
      </c>
      <c r="U22" s="281">
        <f t="shared" si="11"/>
        <v>62.44920000000001</v>
      </c>
      <c r="V22" s="281">
        <f t="shared" si="12"/>
        <v>1323.1862068965518</v>
      </c>
      <c r="W22" s="281">
        <f t="shared" si="13"/>
        <v>109.8244551724138</v>
      </c>
      <c r="X22" s="281">
        <f t="shared" si="14"/>
        <v>51.889655172413796</v>
      </c>
      <c r="Y22" s="281">
        <f t="shared" si="15"/>
        <v>4.306841379310345</v>
      </c>
      <c r="Z22" s="286">
        <f t="shared" si="16"/>
        <v>8485.670979310347</v>
      </c>
      <c r="AA22" s="285">
        <f t="shared" si="17"/>
        <v>1552.1379310344828</v>
      </c>
      <c r="AB22" s="281">
        <f t="shared" si="18"/>
        <v>128.82744827586208</v>
      </c>
      <c r="AC22" s="281">
        <f t="shared" si="19"/>
        <v>204.6</v>
      </c>
      <c r="AD22" s="281">
        <f t="shared" si="20"/>
        <v>16.9818</v>
      </c>
      <c r="AE22" s="281">
        <f t="shared" si="21"/>
        <v>359.81379310344823</v>
      </c>
      <c r="AF22" s="281">
        <f t="shared" si="22"/>
        <v>29.864544827586204</v>
      </c>
      <c r="AG22" s="281">
        <f t="shared" si="23"/>
        <v>14.110344827586207</v>
      </c>
      <c r="AH22" s="281">
        <f t="shared" si="24"/>
        <v>1.1711586206896551</v>
      </c>
      <c r="AI22" s="286">
        <f t="shared" si="25"/>
        <v>2307.5070206896553</v>
      </c>
      <c r="AJ22" s="237">
        <f t="shared" si="26"/>
        <v>7260</v>
      </c>
      <c r="AK22" s="238">
        <f t="shared" si="27"/>
        <v>602.58</v>
      </c>
      <c r="AL22" s="238">
        <f t="shared" si="28"/>
        <v>957</v>
      </c>
      <c r="AM22" s="238">
        <f t="shared" si="29"/>
        <v>79.431</v>
      </c>
      <c r="AN22" s="238">
        <f t="shared" si="30"/>
        <v>1683</v>
      </c>
      <c r="AO22" s="238">
        <f t="shared" si="31"/>
        <v>139.689</v>
      </c>
      <c r="AP22" s="238">
        <f t="shared" si="32"/>
        <v>66</v>
      </c>
      <c r="AQ22" s="238">
        <f t="shared" si="33"/>
        <v>5.478</v>
      </c>
      <c r="AR22" s="302">
        <f t="shared" si="34"/>
        <v>46532.178</v>
      </c>
      <c r="AS22" s="311">
        <f t="shared" si="35"/>
        <v>3573.9000000000087</v>
      </c>
      <c r="AT22" s="303">
        <f t="shared" si="36"/>
        <v>46532.178</v>
      </c>
      <c r="AU22" s="298"/>
      <c r="AV22" s="298"/>
      <c r="AW22" s="298"/>
    </row>
    <row r="23" spans="1:49" ht="15.75">
      <c r="A23" s="60" t="s">
        <v>48</v>
      </c>
      <c r="B23" s="11" t="s">
        <v>49</v>
      </c>
      <c r="C23" s="7">
        <v>2</v>
      </c>
      <c r="D23" s="491">
        <v>10100</v>
      </c>
      <c r="E23" s="491">
        <v>550</v>
      </c>
      <c r="F23" s="491">
        <v>2000</v>
      </c>
      <c r="G23" s="491"/>
      <c r="H23" s="487">
        <f t="shared" si="37"/>
        <v>12650</v>
      </c>
      <c r="I23" s="488">
        <f t="shared" si="1"/>
        <v>11005.5</v>
      </c>
      <c r="J23" s="489">
        <f t="shared" si="2"/>
        <v>25300</v>
      </c>
      <c r="K23" s="490">
        <f t="shared" si="3"/>
        <v>2099.9</v>
      </c>
      <c r="L23" s="265">
        <f t="shared" si="4"/>
        <v>27399.9</v>
      </c>
      <c r="M23" s="231"/>
      <c r="N23" s="272">
        <f>(D23+(F23*D23/(D23+E23)))*C23</f>
        <v>23993.42723004695</v>
      </c>
      <c r="O23" s="272">
        <f>(E23+F23*E23/(D23+E23))*C23</f>
        <v>1306.5727699530516</v>
      </c>
      <c r="P23" s="278">
        <f t="shared" si="6"/>
        <v>1991.4544600938968</v>
      </c>
      <c r="Q23" s="279">
        <f t="shared" si="7"/>
        <v>108.44553990610329</v>
      </c>
      <c r="R23" s="285">
        <f t="shared" si="8"/>
        <v>5278.553990610329</v>
      </c>
      <c r="S23" s="280">
        <f t="shared" si="9"/>
        <v>438.1199812206573</v>
      </c>
      <c r="T23" s="281">
        <f t="shared" si="10"/>
        <v>695.8093896713616</v>
      </c>
      <c r="U23" s="281">
        <f t="shared" si="11"/>
        <v>57.75217934272301</v>
      </c>
      <c r="V23" s="281">
        <f t="shared" si="12"/>
        <v>1223.6647887323943</v>
      </c>
      <c r="W23" s="281">
        <f t="shared" si="13"/>
        <v>101.56417746478873</v>
      </c>
      <c r="X23" s="281">
        <f t="shared" si="14"/>
        <v>47.9868544600939</v>
      </c>
      <c r="Y23" s="281">
        <f t="shared" si="15"/>
        <v>3.9829089201877936</v>
      </c>
      <c r="Z23" s="286">
        <f t="shared" si="16"/>
        <v>7847.434270422535</v>
      </c>
      <c r="AA23" s="285">
        <f t="shared" si="17"/>
        <v>287.44600938967136</v>
      </c>
      <c r="AB23" s="281">
        <f t="shared" si="18"/>
        <v>23.858018779342725</v>
      </c>
      <c r="AC23" s="281">
        <f t="shared" si="19"/>
        <v>37.8906103286385</v>
      </c>
      <c r="AD23" s="281">
        <f t="shared" si="20"/>
        <v>3.1449206572769954</v>
      </c>
      <c r="AE23" s="281">
        <f t="shared" si="21"/>
        <v>66.63521126760563</v>
      </c>
      <c r="AF23" s="281">
        <f t="shared" si="22"/>
        <v>5.530722535211267</v>
      </c>
      <c r="AG23" s="281">
        <f t="shared" si="23"/>
        <v>2.613145539906103</v>
      </c>
      <c r="AH23" s="281">
        <f t="shared" si="24"/>
        <v>0.2168910798122066</v>
      </c>
      <c r="AI23" s="286">
        <f t="shared" si="25"/>
        <v>427.33552957746485</v>
      </c>
      <c r="AJ23" s="237">
        <f t="shared" si="26"/>
        <v>5566</v>
      </c>
      <c r="AK23" s="238">
        <f t="shared" si="27"/>
        <v>461.978</v>
      </c>
      <c r="AL23" s="238">
        <f t="shared" si="28"/>
        <v>733.7</v>
      </c>
      <c r="AM23" s="238">
        <f t="shared" si="29"/>
        <v>60.89710000000001</v>
      </c>
      <c r="AN23" s="238">
        <f t="shared" si="30"/>
        <v>1290.3</v>
      </c>
      <c r="AO23" s="238">
        <f t="shared" si="31"/>
        <v>107.0949</v>
      </c>
      <c r="AP23" s="238">
        <f t="shared" si="32"/>
        <v>50.6</v>
      </c>
      <c r="AQ23" s="238">
        <f t="shared" si="33"/>
        <v>4.199800000000001</v>
      </c>
      <c r="AR23" s="302">
        <f t="shared" si="34"/>
        <v>35674.66980000001</v>
      </c>
      <c r="AS23" s="311">
        <f t="shared" si="35"/>
        <v>2739.9900000000052</v>
      </c>
      <c r="AT23" s="303">
        <f t="shared" si="36"/>
        <v>35674.66980000001</v>
      </c>
      <c r="AU23" s="298"/>
      <c r="AV23" s="298"/>
      <c r="AW23" s="298"/>
    </row>
    <row r="24" spans="1:49" ht="15.75">
      <c r="A24" s="60" t="s">
        <v>50</v>
      </c>
      <c r="B24" s="11" t="s">
        <v>51</v>
      </c>
      <c r="C24" s="7">
        <v>2</v>
      </c>
      <c r="D24" s="491">
        <v>10100</v>
      </c>
      <c r="E24" s="491">
        <v>3100</v>
      </c>
      <c r="F24" s="491">
        <v>2000</v>
      </c>
      <c r="G24" s="491"/>
      <c r="H24" s="487">
        <f t="shared" si="37"/>
        <v>15200</v>
      </c>
      <c r="I24" s="488">
        <f t="shared" si="1"/>
        <v>13224</v>
      </c>
      <c r="J24" s="489">
        <f t="shared" si="2"/>
        <v>30400</v>
      </c>
      <c r="K24" s="490">
        <f t="shared" si="3"/>
        <v>2523.2000000000003</v>
      </c>
      <c r="L24" s="265">
        <f t="shared" si="4"/>
        <v>32923.2</v>
      </c>
      <c r="M24" s="231"/>
      <c r="N24" s="272">
        <f>(D24+(F24*D24/(D24+E24)))*C24</f>
        <v>23260.60606060606</v>
      </c>
      <c r="O24" s="272">
        <f>(E24+F24*E24/(D24+E24))*C24</f>
        <v>7139.393939393939</v>
      </c>
      <c r="P24" s="278">
        <f t="shared" si="6"/>
        <v>1930.6303030303031</v>
      </c>
      <c r="Q24" s="279">
        <f t="shared" si="7"/>
        <v>592.569696969697</v>
      </c>
      <c r="R24" s="285">
        <f t="shared" si="8"/>
        <v>5117.333333333333</v>
      </c>
      <c r="S24" s="280">
        <f t="shared" si="9"/>
        <v>424.7386666666667</v>
      </c>
      <c r="T24" s="281">
        <f t="shared" si="10"/>
        <v>674.5575757575758</v>
      </c>
      <c r="U24" s="281">
        <f t="shared" si="11"/>
        <v>55.98827878787879</v>
      </c>
      <c r="V24" s="281">
        <f t="shared" si="12"/>
        <v>1186.290909090909</v>
      </c>
      <c r="W24" s="281">
        <f t="shared" si="13"/>
        <v>98.46214545454545</v>
      </c>
      <c r="X24" s="281">
        <f t="shared" si="14"/>
        <v>46.52121212121212</v>
      </c>
      <c r="Y24" s="281">
        <f t="shared" si="15"/>
        <v>3.8612606060606063</v>
      </c>
      <c r="Z24" s="286">
        <f t="shared" si="16"/>
        <v>7607.753381818183</v>
      </c>
      <c r="AA24" s="285">
        <f t="shared" si="17"/>
        <v>1570.6666666666665</v>
      </c>
      <c r="AB24" s="281">
        <f t="shared" si="18"/>
        <v>130.36533333333335</v>
      </c>
      <c r="AC24" s="281">
        <f t="shared" si="19"/>
        <v>207.04242424242423</v>
      </c>
      <c r="AD24" s="281">
        <f t="shared" si="20"/>
        <v>17.184521212121215</v>
      </c>
      <c r="AE24" s="281">
        <f t="shared" si="21"/>
        <v>364.10909090909087</v>
      </c>
      <c r="AF24" s="281">
        <f t="shared" si="22"/>
        <v>30.221054545454546</v>
      </c>
      <c r="AG24" s="281">
        <f t="shared" si="23"/>
        <v>14.27878787878788</v>
      </c>
      <c r="AH24" s="281">
        <f t="shared" si="24"/>
        <v>1.1851393939393942</v>
      </c>
      <c r="AI24" s="286">
        <f t="shared" si="25"/>
        <v>2335.0530181818185</v>
      </c>
      <c r="AJ24" s="237">
        <f t="shared" si="26"/>
        <v>6688</v>
      </c>
      <c r="AK24" s="238">
        <f t="shared" si="27"/>
        <v>555.104</v>
      </c>
      <c r="AL24" s="238">
        <f t="shared" si="28"/>
        <v>881.6</v>
      </c>
      <c r="AM24" s="238">
        <f t="shared" si="29"/>
        <v>73.17280000000001</v>
      </c>
      <c r="AN24" s="238">
        <f t="shared" si="30"/>
        <v>1550.3999999999999</v>
      </c>
      <c r="AO24" s="238">
        <f t="shared" si="31"/>
        <v>128.6832</v>
      </c>
      <c r="AP24" s="238">
        <f t="shared" si="32"/>
        <v>60.800000000000004</v>
      </c>
      <c r="AQ24" s="238">
        <f t="shared" si="33"/>
        <v>5.0464</v>
      </c>
      <c r="AR24" s="302">
        <f t="shared" si="34"/>
        <v>42866.0064</v>
      </c>
      <c r="AS24" s="311">
        <f t="shared" si="35"/>
        <v>3292.3199999999997</v>
      </c>
      <c r="AT24" s="303">
        <f t="shared" si="36"/>
        <v>42866.0064</v>
      </c>
      <c r="AU24" s="298"/>
      <c r="AV24" s="298"/>
      <c r="AW24" s="298"/>
    </row>
    <row r="25" spans="1:49" ht="15.75">
      <c r="A25" s="60" t="s">
        <v>52</v>
      </c>
      <c r="B25" s="11" t="s">
        <v>53</v>
      </c>
      <c r="C25" s="7">
        <v>2</v>
      </c>
      <c r="D25" s="491">
        <v>5700</v>
      </c>
      <c r="E25" s="491">
        <v>1550</v>
      </c>
      <c r="F25" s="491">
        <v>1000</v>
      </c>
      <c r="G25" s="491"/>
      <c r="H25" s="487">
        <f t="shared" si="37"/>
        <v>8250</v>
      </c>
      <c r="I25" s="488">
        <f t="shared" si="1"/>
        <v>7177.5</v>
      </c>
      <c r="J25" s="489">
        <f t="shared" si="2"/>
        <v>16500</v>
      </c>
      <c r="K25" s="490">
        <f t="shared" si="3"/>
        <v>1369.5</v>
      </c>
      <c r="L25" s="265">
        <f t="shared" si="4"/>
        <v>17869.5</v>
      </c>
      <c r="M25" s="231"/>
      <c r="N25" s="272">
        <f>(D25+(F25*D25/(D25+E25)))*C25</f>
        <v>12972.41379310345</v>
      </c>
      <c r="O25" s="272">
        <f>(E25+F25*E25/(D25+E25))*C25</f>
        <v>3527.5862068965516</v>
      </c>
      <c r="P25" s="278">
        <f>N25*0.083</f>
        <v>1076.7103448275864</v>
      </c>
      <c r="Q25" s="279">
        <f>O25*0.083</f>
        <v>292.7896551724138</v>
      </c>
      <c r="R25" s="285">
        <f t="shared" si="8"/>
        <v>2853.931034482759</v>
      </c>
      <c r="S25" s="280">
        <f t="shared" si="9"/>
        <v>236.876275862069</v>
      </c>
      <c r="T25" s="281">
        <f t="shared" si="10"/>
        <v>376.20000000000005</v>
      </c>
      <c r="U25" s="281">
        <f t="shared" si="11"/>
        <v>31.224600000000006</v>
      </c>
      <c r="V25" s="281">
        <f t="shared" si="12"/>
        <v>661.5931034482759</v>
      </c>
      <c r="W25" s="281">
        <f t="shared" si="13"/>
        <v>54.9122275862069</v>
      </c>
      <c r="X25" s="281">
        <f t="shared" si="14"/>
        <v>25.944827586206898</v>
      </c>
      <c r="Y25" s="281">
        <f t="shared" si="15"/>
        <v>2.1534206896551726</v>
      </c>
      <c r="Z25" s="286">
        <f t="shared" si="16"/>
        <v>4242.835489655174</v>
      </c>
      <c r="AA25" s="285">
        <f t="shared" si="17"/>
        <v>776.0689655172414</v>
      </c>
      <c r="AB25" s="281">
        <f t="shared" si="18"/>
        <v>64.41372413793104</v>
      </c>
      <c r="AC25" s="281">
        <f t="shared" si="19"/>
        <v>102.3</v>
      </c>
      <c r="AD25" s="281">
        <f t="shared" si="20"/>
        <v>8.4909</v>
      </c>
      <c r="AE25" s="281">
        <f t="shared" si="21"/>
        <v>179.90689655172412</v>
      </c>
      <c r="AF25" s="281">
        <f t="shared" si="22"/>
        <v>14.932272413793102</v>
      </c>
      <c r="AG25" s="281">
        <f t="shared" si="23"/>
        <v>7.055172413793104</v>
      </c>
      <c r="AH25" s="281">
        <f t="shared" si="24"/>
        <v>0.5855793103448276</v>
      </c>
      <c r="AI25" s="286">
        <f t="shared" si="25"/>
        <v>1153.7535103448276</v>
      </c>
      <c r="AJ25" s="237">
        <f t="shared" si="26"/>
        <v>3630</v>
      </c>
      <c r="AK25" s="238">
        <f t="shared" si="27"/>
        <v>301.29</v>
      </c>
      <c r="AL25" s="238">
        <f t="shared" si="28"/>
        <v>478.5</v>
      </c>
      <c r="AM25" s="238">
        <f t="shared" si="29"/>
        <v>39.7155</v>
      </c>
      <c r="AN25" s="238">
        <f t="shared" si="30"/>
        <v>841.5</v>
      </c>
      <c r="AO25" s="238">
        <f t="shared" si="31"/>
        <v>69.8445</v>
      </c>
      <c r="AP25" s="238">
        <f t="shared" si="32"/>
        <v>33</v>
      </c>
      <c r="AQ25" s="238">
        <f t="shared" si="33"/>
        <v>2.739</v>
      </c>
      <c r="AR25" s="302">
        <f t="shared" si="34"/>
        <v>23266.089</v>
      </c>
      <c r="AS25" s="311">
        <f t="shared" si="35"/>
        <v>1786.9500000000044</v>
      </c>
      <c r="AT25" s="303">
        <f t="shared" si="36"/>
        <v>23266.089</v>
      </c>
      <c r="AU25" s="298"/>
      <c r="AV25" s="298"/>
      <c r="AW25" s="298"/>
    </row>
    <row r="26" spans="1:49" ht="15.75">
      <c r="A26" s="60" t="s">
        <v>54</v>
      </c>
      <c r="B26" s="11" t="s">
        <v>55</v>
      </c>
      <c r="C26" s="7">
        <v>2</v>
      </c>
      <c r="D26" s="491">
        <v>10100</v>
      </c>
      <c r="E26" s="491">
        <v>3100</v>
      </c>
      <c r="F26" s="491">
        <v>2000</v>
      </c>
      <c r="G26" s="491"/>
      <c r="H26" s="487">
        <f t="shared" si="37"/>
        <v>15200</v>
      </c>
      <c r="I26" s="488">
        <f t="shared" si="1"/>
        <v>13224</v>
      </c>
      <c r="J26" s="489">
        <f t="shared" si="2"/>
        <v>30400</v>
      </c>
      <c r="K26" s="490">
        <f t="shared" si="3"/>
        <v>2523.2000000000003</v>
      </c>
      <c r="L26" s="265">
        <f t="shared" si="4"/>
        <v>32923.2</v>
      </c>
      <c r="M26" s="231"/>
      <c r="N26" s="272">
        <f>(D26+(F26*D26/(D26+E26)))*C26</f>
        <v>23260.60606060606</v>
      </c>
      <c r="O26" s="272">
        <f>(E26+F26*E26/(D26+E26))*C26</f>
        <v>7139.393939393939</v>
      </c>
      <c r="P26" s="278">
        <f>N26*0.083</f>
        <v>1930.6303030303031</v>
      </c>
      <c r="Q26" s="279">
        <f t="shared" si="7"/>
        <v>592.569696969697</v>
      </c>
      <c r="R26" s="285">
        <f t="shared" si="8"/>
        <v>5117.333333333333</v>
      </c>
      <c r="S26" s="280">
        <f t="shared" si="9"/>
        <v>424.7386666666667</v>
      </c>
      <c r="T26" s="281">
        <f t="shared" si="10"/>
        <v>674.5575757575758</v>
      </c>
      <c r="U26" s="281">
        <f t="shared" si="11"/>
        <v>55.98827878787879</v>
      </c>
      <c r="V26" s="281">
        <f t="shared" si="12"/>
        <v>1186.290909090909</v>
      </c>
      <c r="W26" s="281">
        <f t="shared" si="13"/>
        <v>98.46214545454545</v>
      </c>
      <c r="X26" s="281">
        <f t="shared" si="14"/>
        <v>46.52121212121212</v>
      </c>
      <c r="Y26" s="281">
        <f t="shared" si="15"/>
        <v>3.8612606060606063</v>
      </c>
      <c r="Z26" s="286">
        <f t="shared" si="16"/>
        <v>7607.753381818183</v>
      </c>
      <c r="AA26" s="285">
        <f t="shared" si="17"/>
        <v>1570.6666666666665</v>
      </c>
      <c r="AB26" s="281">
        <f t="shared" si="18"/>
        <v>130.36533333333335</v>
      </c>
      <c r="AC26" s="281">
        <f t="shared" si="19"/>
        <v>207.04242424242423</v>
      </c>
      <c r="AD26" s="281">
        <f t="shared" si="20"/>
        <v>17.184521212121215</v>
      </c>
      <c r="AE26" s="281">
        <f t="shared" si="21"/>
        <v>364.10909090909087</v>
      </c>
      <c r="AF26" s="281">
        <f t="shared" si="22"/>
        <v>30.221054545454546</v>
      </c>
      <c r="AG26" s="281">
        <f t="shared" si="23"/>
        <v>14.27878787878788</v>
      </c>
      <c r="AH26" s="281">
        <f t="shared" si="24"/>
        <v>1.1851393939393942</v>
      </c>
      <c r="AI26" s="286">
        <f t="shared" si="25"/>
        <v>2335.0530181818185</v>
      </c>
      <c r="AJ26" s="237">
        <f t="shared" si="26"/>
        <v>6688</v>
      </c>
      <c r="AK26" s="238">
        <f t="shared" si="27"/>
        <v>555.104</v>
      </c>
      <c r="AL26" s="238">
        <f t="shared" si="28"/>
        <v>881.6</v>
      </c>
      <c r="AM26" s="238">
        <f t="shared" si="29"/>
        <v>73.17280000000001</v>
      </c>
      <c r="AN26" s="238">
        <f t="shared" si="30"/>
        <v>1550.3999999999999</v>
      </c>
      <c r="AO26" s="238">
        <f t="shared" si="31"/>
        <v>128.6832</v>
      </c>
      <c r="AP26" s="238">
        <f t="shared" si="32"/>
        <v>60.800000000000004</v>
      </c>
      <c r="AQ26" s="238">
        <f t="shared" si="33"/>
        <v>5.0464</v>
      </c>
      <c r="AR26" s="302">
        <f t="shared" si="34"/>
        <v>42866.0064</v>
      </c>
      <c r="AS26" s="311">
        <f t="shared" si="35"/>
        <v>3292.3199999999997</v>
      </c>
      <c r="AT26" s="303">
        <f t="shared" si="36"/>
        <v>42866.0064</v>
      </c>
      <c r="AU26" s="298"/>
      <c r="AV26" s="298"/>
      <c r="AW26" s="298"/>
    </row>
    <row r="27" spans="1:49" ht="15.75">
      <c r="A27" s="60" t="s">
        <v>56</v>
      </c>
      <c r="B27" s="11" t="s">
        <v>89</v>
      </c>
      <c r="C27" s="7">
        <v>7</v>
      </c>
      <c r="D27" s="491">
        <v>3300</v>
      </c>
      <c r="E27" s="491"/>
      <c r="F27" s="491"/>
      <c r="G27" s="491"/>
      <c r="H27" s="487">
        <f t="shared" si="0"/>
        <v>3300</v>
      </c>
      <c r="I27" s="488">
        <f t="shared" si="1"/>
        <v>2871</v>
      </c>
      <c r="J27" s="489">
        <f t="shared" si="2"/>
        <v>23100</v>
      </c>
      <c r="K27" s="490">
        <f t="shared" si="3"/>
        <v>1917.3000000000002</v>
      </c>
      <c r="L27" s="265">
        <f t="shared" si="4"/>
        <v>25017.3</v>
      </c>
      <c r="M27" s="231"/>
      <c r="N27" s="272">
        <f t="shared" si="5"/>
        <v>23100</v>
      </c>
      <c r="O27" s="277"/>
      <c r="P27" s="278">
        <f t="shared" si="6"/>
        <v>1917.3000000000002</v>
      </c>
      <c r="Q27" s="279"/>
      <c r="R27" s="285">
        <f t="shared" si="8"/>
        <v>5082</v>
      </c>
      <c r="S27" s="280">
        <f t="shared" si="9"/>
        <v>421.80600000000004</v>
      </c>
      <c r="T27" s="281">
        <f t="shared" si="10"/>
        <v>669.9</v>
      </c>
      <c r="U27" s="281">
        <f t="shared" si="11"/>
        <v>55.60170000000001</v>
      </c>
      <c r="V27" s="281">
        <f t="shared" si="12"/>
        <v>1178.1</v>
      </c>
      <c r="W27" s="281">
        <f t="shared" si="13"/>
        <v>97.7823</v>
      </c>
      <c r="X27" s="281">
        <f t="shared" si="14"/>
        <v>46.2</v>
      </c>
      <c r="Y27" s="281">
        <f t="shared" si="15"/>
        <v>3.8346000000000005</v>
      </c>
      <c r="Z27" s="286">
        <f t="shared" si="16"/>
        <v>7555.2246</v>
      </c>
      <c r="AA27" s="285"/>
      <c r="AB27" s="281"/>
      <c r="AC27" s="281"/>
      <c r="AD27" s="281"/>
      <c r="AE27" s="281"/>
      <c r="AF27" s="281"/>
      <c r="AG27" s="281"/>
      <c r="AH27" s="281"/>
      <c r="AI27" s="286"/>
      <c r="AJ27" s="237">
        <f t="shared" si="26"/>
        <v>5082</v>
      </c>
      <c r="AK27" s="238">
        <f t="shared" si="27"/>
        <v>421.80600000000004</v>
      </c>
      <c r="AL27" s="238">
        <f t="shared" si="28"/>
        <v>669.9</v>
      </c>
      <c r="AM27" s="238">
        <f t="shared" si="29"/>
        <v>55.60170000000001</v>
      </c>
      <c r="AN27" s="238">
        <f t="shared" si="30"/>
        <v>1178.1</v>
      </c>
      <c r="AO27" s="238">
        <f t="shared" si="31"/>
        <v>97.7823</v>
      </c>
      <c r="AP27" s="238">
        <f t="shared" si="32"/>
        <v>46.2</v>
      </c>
      <c r="AQ27" s="238">
        <f t="shared" si="33"/>
        <v>3.8346000000000005</v>
      </c>
      <c r="AR27" s="302">
        <f t="shared" si="34"/>
        <v>32572.524599999997</v>
      </c>
      <c r="AS27" s="311">
        <f t="shared" si="35"/>
        <v>2501.7299999999996</v>
      </c>
      <c r="AT27" s="303">
        <f t="shared" si="36"/>
        <v>32572.524599999997</v>
      </c>
      <c r="AU27" s="298"/>
      <c r="AV27" s="298"/>
      <c r="AW27" s="298"/>
    </row>
    <row r="28" spans="1:49" ht="15.75">
      <c r="A28" s="60" t="s">
        <v>57</v>
      </c>
      <c r="B28" s="11" t="s">
        <v>90</v>
      </c>
      <c r="C28" s="7">
        <v>6</v>
      </c>
      <c r="D28" s="491">
        <v>3300</v>
      </c>
      <c r="E28" s="491"/>
      <c r="F28" s="491"/>
      <c r="G28" s="491"/>
      <c r="H28" s="487">
        <f t="shared" si="0"/>
        <v>3300</v>
      </c>
      <c r="I28" s="488">
        <f t="shared" si="1"/>
        <v>2871</v>
      </c>
      <c r="J28" s="489">
        <f t="shared" si="2"/>
        <v>19800</v>
      </c>
      <c r="K28" s="490">
        <f t="shared" si="3"/>
        <v>1643.4</v>
      </c>
      <c r="L28" s="265">
        <f t="shared" si="4"/>
        <v>21443.4</v>
      </c>
      <c r="M28" s="231"/>
      <c r="N28" s="272">
        <f t="shared" si="5"/>
        <v>19800</v>
      </c>
      <c r="O28" s="277"/>
      <c r="P28" s="278">
        <f t="shared" si="6"/>
        <v>1643.4</v>
      </c>
      <c r="Q28" s="279"/>
      <c r="R28" s="285">
        <f t="shared" si="8"/>
        <v>4356</v>
      </c>
      <c r="S28" s="280">
        <f t="shared" si="9"/>
        <v>361.548</v>
      </c>
      <c r="T28" s="281">
        <f t="shared" si="10"/>
        <v>574.2</v>
      </c>
      <c r="U28" s="281">
        <f t="shared" si="11"/>
        <v>47.65860000000001</v>
      </c>
      <c r="V28" s="281">
        <f t="shared" si="12"/>
        <v>1009.8</v>
      </c>
      <c r="W28" s="281">
        <f t="shared" si="13"/>
        <v>83.8134</v>
      </c>
      <c r="X28" s="281">
        <f t="shared" si="14"/>
        <v>39.6</v>
      </c>
      <c r="Y28" s="281">
        <f t="shared" si="15"/>
        <v>3.2868000000000004</v>
      </c>
      <c r="Z28" s="286">
        <f t="shared" si="16"/>
        <v>6475.9068</v>
      </c>
      <c r="AA28" s="285"/>
      <c r="AB28" s="281"/>
      <c r="AC28" s="281"/>
      <c r="AD28" s="281"/>
      <c r="AE28" s="281"/>
      <c r="AF28" s="281"/>
      <c r="AG28" s="281"/>
      <c r="AH28" s="281"/>
      <c r="AI28" s="286"/>
      <c r="AJ28" s="237">
        <f t="shared" si="26"/>
        <v>4356</v>
      </c>
      <c r="AK28" s="238">
        <f t="shared" si="27"/>
        <v>361.548</v>
      </c>
      <c r="AL28" s="238">
        <f t="shared" si="28"/>
        <v>574.2</v>
      </c>
      <c r="AM28" s="238">
        <f t="shared" si="29"/>
        <v>47.65860000000001</v>
      </c>
      <c r="AN28" s="238">
        <f t="shared" si="30"/>
        <v>1009.8</v>
      </c>
      <c r="AO28" s="238">
        <f t="shared" si="31"/>
        <v>83.8134</v>
      </c>
      <c r="AP28" s="238">
        <f t="shared" si="32"/>
        <v>39.6</v>
      </c>
      <c r="AQ28" s="238">
        <f t="shared" si="33"/>
        <v>3.2868000000000004</v>
      </c>
      <c r="AR28" s="302">
        <f t="shared" si="34"/>
        <v>27919.3068</v>
      </c>
      <c r="AS28" s="311">
        <f t="shared" si="35"/>
        <v>2144.34</v>
      </c>
      <c r="AT28" s="303">
        <f t="shared" si="36"/>
        <v>27919.3068</v>
      </c>
      <c r="AU28" s="298"/>
      <c r="AV28" s="298"/>
      <c r="AW28" s="298"/>
    </row>
    <row r="29" spans="1:49" ht="15.75">
      <c r="A29" s="60" t="s">
        <v>58</v>
      </c>
      <c r="B29" s="11" t="s">
        <v>91</v>
      </c>
      <c r="C29" s="7">
        <v>7</v>
      </c>
      <c r="D29" s="491">
        <v>3800</v>
      </c>
      <c r="E29" s="491"/>
      <c r="F29" s="491"/>
      <c r="G29" s="491"/>
      <c r="H29" s="487">
        <f t="shared" si="0"/>
        <v>3800</v>
      </c>
      <c r="I29" s="488">
        <f t="shared" si="1"/>
        <v>3306</v>
      </c>
      <c r="J29" s="489">
        <f t="shared" si="2"/>
        <v>26600</v>
      </c>
      <c r="K29" s="490">
        <f t="shared" si="3"/>
        <v>2207.8</v>
      </c>
      <c r="L29" s="265">
        <f t="shared" si="4"/>
        <v>28807.8</v>
      </c>
      <c r="M29" s="231"/>
      <c r="N29" s="272">
        <f t="shared" si="5"/>
        <v>26600</v>
      </c>
      <c r="O29" s="277"/>
      <c r="P29" s="278">
        <f t="shared" si="6"/>
        <v>2207.8</v>
      </c>
      <c r="Q29" s="279"/>
      <c r="R29" s="285">
        <f t="shared" si="8"/>
        <v>5852</v>
      </c>
      <c r="S29" s="280">
        <f t="shared" si="9"/>
        <v>485.71600000000007</v>
      </c>
      <c r="T29" s="281">
        <f t="shared" si="10"/>
        <v>771.4000000000001</v>
      </c>
      <c r="U29" s="281">
        <f t="shared" si="11"/>
        <v>64.0262</v>
      </c>
      <c r="V29" s="281">
        <f t="shared" si="12"/>
        <v>1356.6</v>
      </c>
      <c r="W29" s="281">
        <f t="shared" si="13"/>
        <v>112.5978</v>
      </c>
      <c r="X29" s="281">
        <f t="shared" si="14"/>
        <v>53.2</v>
      </c>
      <c r="Y29" s="281">
        <f t="shared" si="15"/>
        <v>4.4156</v>
      </c>
      <c r="Z29" s="286">
        <f t="shared" si="16"/>
        <v>8699.955600000001</v>
      </c>
      <c r="AA29" s="285"/>
      <c r="AB29" s="281"/>
      <c r="AC29" s="281"/>
      <c r="AD29" s="281"/>
      <c r="AE29" s="281"/>
      <c r="AF29" s="281"/>
      <c r="AG29" s="281"/>
      <c r="AH29" s="281"/>
      <c r="AI29" s="286"/>
      <c r="AJ29" s="237">
        <f t="shared" si="26"/>
        <v>5852</v>
      </c>
      <c r="AK29" s="238">
        <f t="shared" si="27"/>
        <v>485.71600000000007</v>
      </c>
      <c r="AL29" s="238">
        <f t="shared" si="28"/>
        <v>771.4000000000001</v>
      </c>
      <c r="AM29" s="238">
        <f t="shared" si="29"/>
        <v>64.0262</v>
      </c>
      <c r="AN29" s="238">
        <f t="shared" si="30"/>
        <v>1356.6</v>
      </c>
      <c r="AO29" s="238">
        <f t="shared" si="31"/>
        <v>112.5978</v>
      </c>
      <c r="AP29" s="238">
        <f t="shared" si="32"/>
        <v>53.2</v>
      </c>
      <c r="AQ29" s="238">
        <f t="shared" si="33"/>
        <v>4.4156</v>
      </c>
      <c r="AR29" s="302">
        <f t="shared" si="34"/>
        <v>37507.7556</v>
      </c>
      <c r="AS29" s="311">
        <f>L29+Z29+AI29-L29*1.202</f>
        <v>2880.780000000006</v>
      </c>
      <c r="AT29" s="303">
        <f t="shared" si="36"/>
        <v>37507.7556</v>
      </c>
      <c r="AU29" s="298"/>
      <c r="AV29" s="298"/>
      <c r="AW29" s="298"/>
    </row>
    <row r="30" spans="1:49" ht="15.75">
      <c r="A30" s="60" t="s">
        <v>59</v>
      </c>
      <c r="B30" s="11" t="s">
        <v>92</v>
      </c>
      <c r="C30" s="9">
        <v>5</v>
      </c>
      <c r="D30" s="492">
        <v>3800</v>
      </c>
      <c r="E30" s="491"/>
      <c r="F30" s="491"/>
      <c r="G30" s="491"/>
      <c r="H30" s="487">
        <f t="shared" si="0"/>
        <v>3800</v>
      </c>
      <c r="I30" s="488">
        <f t="shared" si="1"/>
        <v>3306</v>
      </c>
      <c r="J30" s="489">
        <f t="shared" si="2"/>
        <v>19000</v>
      </c>
      <c r="K30" s="490">
        <f t="shared" si="3"/>
        <v>1577</v>
      </c>
      <c r="L30" s="265">
        <f t="shared" si="4"/>
        <v>20577</v>
      </c>
      <c r="M30" s="231"/>
      <c r="N30" s="272">
        <f t="shared" si="5"/>
        <v>19000</v>
      </c>
      <c r="O30" s="277"/>
      <c r="P30" s="278">
        <f t="shared" si="6"/>
        <v>1577</v>
      </c>
      <c r="Q30" s="279"/>
      <c r="R30" s="285">
        <f t="shared" si="8"/>
        <v>4180</v>
      </c>
      <c r="S30" s="280">
        <f t="shared" si="9"/>
        <v>346.94</v>
      </c>
      <c r="T30" s="281">
        <f t="shared" si="10"/>
        <v>551</v>
      </c>
      <c r="U30" s="281">
        <f t="shared" si="11"/>
        <v>45.733000000000004</v>
      </c>
      <c r="V30" s="281">
        <f t="shared" si="12"/>
        <v>968.9999999999999</v>
      </c>
      <c r="W30" s="281">
        <f t="shared" si="13"/>
        <v>80.42699999999999</v>
      </c>
      <c r="X30" s="281">
        <f t="shared" si="14"/>
        <v>38</v>
      </c>
      <c r="Y30" s="281">
        <f t="shared" si="15"/>
        <v>3.154</v>
      </c>
      <c r="Z30" s="286">
        <f t="shared" si="16"/>
        <v>6214.254</v>
      </c>
      <c r="AA30" s="285"/>
      <c r="AB30" s="281"/>
      <c r="AC30" s="281"/>
      <c r="AD30" s="281"/>
      <c r="AE30" s="281"/>
      <c r="AF30" s="281"/>
      <c r="AG30" s="281"/>
      <c r="AH30" s="281"/>
      <c r="AI30" s="286"/>
      <c r="AJ30" s="237">
        <f t="shared" si="26"/>
        <v>4180</v>
      </c>
      <c r="AK30" s="238">
        <f t="shared" si="27"/>
        <v>346.94</v>
      </c>
      <c r="AL30" s="238">
        <f t="shared" si="28"/>
        <v>551</v>
      </c>
      <c r="AM30" s="238">
        <f t="shared" si="29"/>
        <v>45.733000000000004</v>
      </c>
      <c r="AN30" s="238">
        <f t="shared" si="30"/>
        <v>968.9999999999999</v>
      </c>
      <c r="AO30" s="238">
        <f t="shared" si="31"/>
        <v>80.42699999999999</v>
      </c>
      <c r="AP30" s="238">
        <f t="shared" si="32"/>
        <v>38</v>
      </c>
      <c r="AQ30" s="238">
        <f t="shared" si="33"/>
        <v>3.154</v>
      </c>
      <c r="AR30" s="302">
        <f t="shared" si="34"/>
        <v>26791.253999999997</v>
      </c>
      <c r="AS30" s="311">
        <f t="shared" si="35"/>
        <v>2057.7000000000007</v>
      </c>
      <c r="AT30" s="303">
        <f t="shared" si="36"/>
        <v>26791.253999999997</v>
      </c>
      <c r="AU30" s="298"/>
      <c r="AV30" s="298"/>
      <c r="AW30" s="298"/>
    </row>
    <row r="31" spans="1:49" ht="15.75">
      <c r="A31" s="60" t="s">
        <v>60</v>
      </c>
      <c r="B31" s="11" t="s">
        <v>93</v>
      </c>
      <c r="C31" s="9">
        <v>6</v>
      </c>
      <c r="D31" s="492">
        <v>3800</v>
      </c>
      <c r="E31" s="492"/>
      <c r="F31" s="492"/>
      <c r="G31" s="492"/>
      <c r="H31" s="487">
        <f t="shared" si="0"/>
        <v>3800</v>
      </c>
      <c r="I31" s="488">
        <f t="shared" si="1"/>
        <v>3306</v>
      </c>
      <c r="J31" s="489">
        <f t="shared" si="2"/>
        <v>22800</v>
      </c>
      <c r="K31" s="490">
        <f t="shared" si="3"/>
        <v>1892.4</v>
      </c>
      <c r="L31" s="265">
        <f t="shared" si="4"/>
        <v>24692.4</v>
      </c>
      <c r="M31" s="231"/>
      <c r="N31" s="272">
        <f t="shared" si="5"/>
        <v>22800</v>
      </c>
      <c r="O31" s="277"/>
      <c r="P31" s="278">
        <f t="shared" si="6"/>
        <v>1892.4</v>
      </c>
      <c r="Q31" s="279"/>
      <c r="R31" s="285">
        <f t="shared" si="8"/>
        <v>5016</v>
      </c>
      <c r="S31" s="280">
        <f t="shared" si="9"/>
        <v>416.32800000000003</v>
      </c>
      <c r="T31" s="281">
        <f t="shared" si="10"/>
        <v>661.2</v>
      </c>
      <c r="U31" s="281">
        <f t="shared" si="11"/>
        <v>54.8796</v>
      </c>
      <c r="V31" s="281">
        <f t="shared" si="12"/>
        <v>1162.8</v>
      </c>
      <c r="W31" s="281">
        <f t="shared" si="13"/>
        <v>96.5124</v>
      </c>
      <c r="X31" s="281">
        <f t="shared" si="14"/>
        <v>45.6</v>
      </c>
      <c r="Y31" s="281">
        <f t="shared" si="15"/>
        <v>3.7848</v>
      </c>
      <c r="Z31" s="286">
        <f t="shared" si="16"/>
        <v>7457.104800000001</v>
      </c>
      <c r="AA31" s="285"/>
      <c r="AB31" s="281"/>
      <c r="AC31" s="281"/>
      <c r="AD31" s="281"/>
      <c r="AE31" s="281"/>
      <c r="AF31" s="281"/>
      <c r="AG31" s="281"/>
      <c r="AH31" s="281"/>
      <c r="AI31" s="286"/>
      <c r="AJ31" s="237">
        <f t="shared" si="26"/>
        <v>5016</v>
      </c>
      <c r="AK31" s="238">
        <f t="shared" si="27"/>
        <v>416.32800000000003</v>
      </c>
      <c r="AL31" s="238">
        <f t="shared" si="28"/>
        <v>661.2</v>
      </c>
      <c r="AM31" s="238">
        <f t="shared" si="29"/>
        <v>54.8796</v>
      </c>
      <c r="AN31" s="238">
        <f t="shared" si="30"/>
        <v>1162.8</v>
      </c>
      <c r="AO31" s="238">
        <f t="shared" si="31"/>
        <v>96.5124</v>
      </c>
      <c r="AP31" s="238">
        <f t="shared" si="32"/>
        <v>45.6</v>
      </c>
      <c r="AQ31" s="238">
        <f t="shared" si="33"/>
        <v>3.7848</v>
      </c>
      <c r="AR31" s="302">
        <f t="shared" si="34"/>
        <v>32149.504800000002</v>
      </c>
      <c r="AS31" s="311">
        <f t="shared" si="35"/>
        <v>2469.2400000000016</v>
      </c>
      <c r="AT31" s="303">
        <f t="shared" si="36"/>
        <v>32149.504800000002</v>
      </c>
      <c r="AU31" s="298"/>
      <c r="AV31" s="298"/>
      <c r="AW31" s="298"/>
    </row>
    <row r="32" spans="1:49" ht="16.5" thickBot="1">
      <c r="A32" s="60" t="s">
        <v>61</v>
      </c>
      <c r="B32" s="21" t="s">
        <v>62</v>
      </c>
      <c r="C32" s="9">
        <v>1</v>
      </c>
      <c r="D32" s="492">
        <v>8500</v>
      </c>
      <c r="E32" s="492">
        <v>600</v>
      </c>
      <c r="F32" s="492"/>
      <c r="G32" s="492"/>
      <c r="H32" s="493">
        <f t="shared" si="0"/>
        <v>9100</v>
      </c>
      <c r="I32" s="494">
        <f>H32*0.87</f>
        <v>7917</v>
      </c>
      <c r="J32" s="495">
        <f t="shared" si="2"/>
        <v>9100</v>
      </c>
      <c r="K32" s="496">
        <f t="shared" si="3"/>
        <v>755.3000000000001</v>
      </c>
      <c r="L32" s="265">
        <f t="shared" si="4"/>
        <v>9855.3</v>
      </c>
      <c r="M32" s="231"/>
      <c r="N32" s="272">
        <f t="shared" si="5"/>
        <v>8500</v>
      </c>
      <c r="O32" s="277">
        <f>C32*E32</f>
        <v>600</v>
      </c>
      <c r="P32" s="278">
        <f t="shared" si="6"/>
        <v>705.5</v>
      </c>
      <c r="Q32" s="279">
        <f t="shared" si="7"/>
        <v>49.800000000000004</v>
      </c>
      <c r="R32" s="285">
        <f t="shared" si="8"/>
        <v>1870</v>
      </c>
      <c r="S32" s="280">
        <f t="shared" si="9"/>
        <v>155.21</v>
      </c>
      <c r="T32" s="281">
        <f t="shared" si="10"/>
        <v>246.5</v>
      </c>
      <c r="U32" s="281">
        <f t="shared" si="11"/>
        <v>20.459500000000002</v>
      </c>
      <c r="V32" s="281">
        <f t="shared" si="12"/>
        <v>433.5</v>
      </c>
      <c r="W32" s="281">
        <f t="shared" si="13"/>
        <v>35.9805</v>
      </c>
      <c r="X32" s="281">
        <f t="shared" si="14"/>
        <v>17</v>
      </c>
      <c r="Y32" s="281">
        <f t="shared" si="15"/>
        <v>1.411</v>
      </c>
      <c r="Z32" s="286">
        <f t="shared" si="16"/>
        <v>2780.061</v>
      </c>
      <c r="AA32" s="285">
        <f t="shared" si="17"/>
        <v>132</v>
      </c>
      <c r="AB32" s="281">
        <f t="shared" si="18"/>
        <v>10.956000000000001</v>
      </c>
      <c r="AC32" s="281">
        <f t="shared" si="19"/>
        <v>17.400000000000002</v>
      </c>
      <c r="AD32" s="281">
        <f t="shared" si="20"/>
        <v>1.4442000000000002</v>
      </c>
      <c r="AE32" s="281">
        <f t="shared" si="21"/>
        <v>30.599999999999998</v>
      </c>
      <c r="AF32" s="281">
        <f t="shared" si="22"/>
        <v>2.5398</v>
      </c>
      <c r="AG32" s="281">
        <f t="shared" si="23"/>
        <v>1.2</v>
      </c>
      <c r="AH32" s="281">
        <f t="shared" si="24"/>
        <v>0.09960000000000001</v>
      </c>
      <c r="AI32" s="286">
        <f t="shared" si="25"/>
        <v>196.2396</v>
      </c>
      <c r="AJ32" s="261">
        <f t="shared" si="26"/>
        <v>2002</v>
      </c>
      <c r="AK32" s="262">
        <f t="shared" si="27"/>
        <v>166.16600000000003</v>
      </c>
      <c r="AL32" s="262">
        <f t="shared" si="28"/>
        <v>263.90000000000003</v>
      </c>
      <c r="AM32" s="262">
        <f t="shared" si="29"/>
        <v>21.903700000000004</v>
      </c>
      <c r="AN32" s="262">
        <f t="shared" si="30"/>
        <v>464.09999999999997</v>
      </c>
      <c r="AO32" s="262">
        <f t="shared" si="31"/>
        <v>38.5203</v>
      </c>
      <c r="AP32" s="262">
        <f t="shared" si="32"/>
        <v>18.2</v>
      </c>
      <c r="AQ32" s="262">
        <f t="shared" si="33"/>
        <v>1.5106000000000002</v>
      </c>
      <c r="AR32" s="302">
        <f t="shared" si="34"/>
        <v>12831.6006</v>
      </c>
      <c r="AS32" s="311">
        <f t="shared" si="35"/>
        <v>985.5300000000007</v>
      </c>
      <c r="AT32" s="303">
        <f t="shared" si="36"/>
        <v>12831.6006</v>
      </c>
      <c r="AU32" s="300"/>
      <c r="AV32" s="300"/>
      <c r="AW32" s="300"/>
    </row>
    <row r="33" spans="1:49" ht="16.5" thickBot="1">
      <c r="A33" s="823"/>
      <c r="B33" s="824"/>
      <c r="C33" s="228">
        <f>SUM(C12:C32)</f>
        <v>54</v>
      </c>
      <c r="D33" s="497">
        <f>SUM(D12:D32)</f>
        <v>237000</v>
      </c>
      <c r="E33" s="497">
        <f>SUM(E12:E32)</f>
        <v>102800</v>
      </c>
      <c r="F33" s="497">
        <f>SUM(F12:F32)</f>
        <v>9000</v>
      </c>
      <c r="G33" s="497">
        <f>SUM(G12:G32)</f>
        <v>6300</v>
      </c>
      <c r="H33" s="497"/>
      <c r="I33" s="296"/>
      <c r="J33" s="296">
        <f aca="true" t="shared" si="38" ref="J33:Q33">SUM(J12:J32)</f>
        <v>555400</v>
      </c>
      <c r="K33" s="498">
        <f t="shared" si="38"/>
        <v>46098.20000000001</v>
      </c>
      <c r="L33" s="263">
        <f t="shared" si="38"/>
        <v>601498.2000000002</v>
      </c>
      <c r="M33" s="263">
        <f t="shared" si="38"/>
        <v>0</v>
      </c>
      <c r="N33" s="273">
        <f t="shared" si="38"/>
        <v>437831.8807305695</v>
      </c>
      <c r="O33" s="273">
        <f t="shared" si="38"/>
        <v>117568.11926943058</v>
      </c>
      <c r="P33" s="273">
        <f t="shared" si="38"/>
        <v>36340.046100637264</v>
      </c>
      <c r="Q33" s="273">
        <f t="shared" si="38"/>
        <v>9758.153899362736</v>
      </c>
      <c r="R33" s="287">
        <f aca="true" t="shared" si="39" ref="R33:AG33">SUM(R12:R32)</f>
        <v>96323.01376072528</v>
      </c>
      <c r="S33" s="264">
        <f t="shared" si="39"/>
        <v>7994.810142140199</v>
      </c>
      <c r="T33" s="264">
        <f t="shared" si="39"/>
        <v>12697.124541186515</v>
      </c>
      <c r="U33" s="264">
        <f t="shared" si="39"/>
        <v>1053.8613369184807</v>
      </c>
      <c r="V33" s="264">
        <f t="shared" si="39"/>
        <v>22329.425917259035</v>
      </c>
      <c r="W33" s="264">
        <f t="shared" si="39"/>
        <v>1853.3423511325002</v>
      </c>
      <c r="X33" s="264">
        <f t="shared" si="39"/>
        <v>875.663761461139</v>
      </c>
      <c r="Y33" s="264">
        <f>SUM(Y12:Y32)</f>
        <v>72.68009220127452</v>
      </c>
      <c r="Z33" s="273">
        <f>SUM(Z12:Z32)</f>
        <v>143199.9219030244</v>
      </c>
      <c r="AA33" s="287">
        <f t="shared" si="39"/>
        <v>25864.98623927473</v>
      </c>
      <c r="AB33" s="264">
        <f t="shared" si="39"/>
        <v>2146.7938578598028</v>
      </c>
      <c r="AC33" s="264">
        <f t="shared" si="39"/>
        <v>3409.475458813487</v>
      </c>
      <c r="AD33" s="264">
        <f t="shared" si="39"/>
        <v>282.98646308151945</v>
      </c>
      <c r="AE33" s="264">
        <f t="shared" si="39"/>
        <v>5995.97408274096</v>
      </c>
      <c r="AF33" s="264">
        <f t="shared" si="39"/>
        <v>497.6658488674996</v>
      </c>
      <c r="AG33" s="264">
        <f t="shared" si="39"/>
        <v>235.13623853886116</v>
      </c>
      <c r="AH33" s="264">
        <f>SUM(AH12:AH32)</f>
        <v>19.516307798725478</v>
      </c>
      <c r="AI33" s="273">
        <f>SUM(AI12:AI32)</f>
        <v>38452.53449697558</v>
      </c>
      <c r="AJ33" s="264">
        <f aca="true" t="shared" si="40" ref="AJ33:AP33">SUM(AJ12:AJ32)</f>
        <v>122188</v>
      </c>
      <c r="AK33" s="264">
        <f t="shared" si="40"/>
        <v>10141.604000000001</v>
      </c>
      <c r="AL33" s="264">
        <f t="shared" si="40"/>
        <v>16106.6</v>
      </c>
      <c r="AM33" s="264">
        <f t="shared" si="40"/>
        <v>1336.8478000000002</v>
      </c>
      <c r="AN33" s="264">
        <f t="shared" si="40"/>
        <v>28325.399999999998</v>
      </c>
      <c r="AO33" s="264">
        <f t="shared" si="40"/>
        <v>2351.0082</v>
      </c>
      <c r="AP33" s="264">
        <f t="shared" si="40"/>
        <v>1110.8</v>
      </c>
      <c r="AQ33" s="264">
        <f aca="true" t="shared" si="41" ref="AQ33:AW33">SUM(AQ12:AQ32)</f>
        <v>92.19640000000001</v>
      </c>
      <c r="AR33" s="296">
        <f t="shared" si="41"/>
        <v>783150.6564000001</v>
      </c>
      <c r="AS33" s="296">
        <f t="shared" si="41"/>
        <v>60149.820000000036</v>
      </c>
      <c r="AT33" s="304">
        <f t="shared" si="41"/>
        <v>783150.6564000001</v>
      </c>
      <c r="AU33" s="301">
        <f t="shared" si="41"/>
        <v>76989.6036</v>
      </c>
      <c r="AV33" s="301">
        <f t="shared" si="41"/>
        <v>105705.05</v>
      </c>
      <c r="AW33" s="301">
        <f t="shared" si="41"/>
        <v>39672.7546</v>
      </c>
    </row>
    <row r="34" spans="1:49" s="284" customFormat="1" ht="15.75">
      <c r="A34" s="282"/>
      <c r="B34" s="282"/>
      <c r="C34" s="506"/>
      <c r="D34" s="283"/>
      <c r="E34" s="283"/>
      <c r="F34" s="283"/>
      <c r="G34" s="283"/>
      <c r="H34" s="283"/>
      <c r="I34" s="283"/>
      <c r="J34" s="266">
        <f>J33*12</f>
        <v>6664800</v>
      </c>
      <c r="K34" s="266">
        <f>K33*12</f>
        <v>553178.4000000001</v>
      </c>
      <c r="L34" s="266">
        <f>L33*12</f>
        <v>7217978.400000002</v>
      </c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>
        <f>R33+AA33</f>
        <v>122188.00000000001</v>
      </c>
      <c r="AB34" s="266">
        <f aca="true" t="shared" si="42" ref="AB34:AG34">S33+AB33</f>
        <v>10141.604000000001</v>
      </c>
      <c r="AC34" s="266">
        <f t="shared" si="42"/>
        <v>16106.600000000002</v>
      </c>
      <c r="AD34" s="266">
        <f t="shared" si="42"/>
        <v>1336.8478</v>
      </c>
      <c r="AE34" s="266">
        <f t="shared" si="42"/>
        <v>28325.399999999994</v>
      </c>
      <c r="AF34" s="266">
        <f t="shared" si="42"/>
        <v>2351.0081999999998</v>
      </c>
      <c r="AG34" s="266">
        <f t="shared" si="42"/>
        <v>1110.8000000000002</v>
      </c>
      <c r="AH34" s="266">
        <f>Y33+AH33</f>
        <v>92.1964</v>
      </c>
      <c r="AI34" s="266">
        <f>Z33+AI33</f>
        <v>181652.45639999997</v>
      </c>
      <c r="AJ34" s="266"/>
      <c r="AK34" s="266"/>
      <c r="AL34" s="266"/>
      <c r="AM34" s="266"/>
      <c r="AN34" s="266"/>
      <c r="AO34" s="266"/>
      <c r="AP34" s="266"/>
      <c r="AQ34" s="266">
        <f>SUM(AJ33:AQ33)</f>
        <v>181652.45639999997</v>
      </c>
      <c r="AR34" s="266"/>
      <c r="AS34" s="266"/>
      <c r="AT34" s="266"/>
      <c r="AU34" s="266"/>
      <c r="AV34" s="266"/>
      <c r="AW34" s="266"/>
    </row>
    <row r="35" spans="1:49" s="284" customFormat="1" ht="15.75">
      <c r="A35" s="4"/>
      <c r="B35" s="4" t="s">
        <v>29</v>
      </c>
      <c r="C35" s="506"/>
      <c r="D35" s="283"/>
      <c r="E35" s="283"/>
      <c r="F35" s="283"/>
      <c r="G35" s="283"/>
      <c r="H35" s="283"/>
      <c r="I35" s="283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</row>
    <row r="36" spans="1:49" s="284" customFormat="1" ht="15.75">
      <c r="A36" s="828" t="s">
        <v>63</v>
      </c>
      <c r="B36" s="828"/>
      <c r="C36" s="506"/>
      <c r="D36" s="283"/>
      <c r="E36" s="283"/>
      <c r="F36" s="283"/>
      <c r="G36" s="283"/>
      <c r="H36" s="283"/>
      <c r="I36" s="283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</row>
    <row r="37" spans="1:49" s="284" customFormat="1" ht="15.75">
      <c r="A37" s="282"/>
      <c r="B37" s="282"/>
      <c r="C37" s="506"/>
      <c r="D37" s="283"/>
      <c r="E37" s="283"/>
      <c r="F37" s="283"/>
      <c r="G37" s="283"/>
      <c r="H37" s="283"/>
      <c r="I37" s="283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</row>
    <row r="38" spans="16:46" ht="15.75">
      <c r="P38" s="295"/>
      <c r="AI38" s="288">
        <f>SUM(AA34:AH34)</f>
        <v>181652.4564</v>
      </c>
      <c r="AJ38" s="839">
        <f>AJ33+AK33</f>
        <v>132329.604</v>
      </c>
      <c r="AK38" s="840"/>
      <c r="AL38" s="839">
        <f>AL33+AM33</f>
        <v>17443.4478</v>
      </c>
      <c r="AM38" s="840"/>
      <c r="AN38" s="839">
        <f>AN33+AO33</f>
        <v>30676.408199999998</v>
      </c>
      <c r="AO38" s="840"/>
      <c r="AP38" s="260"/>
      <c r="AQ38" s="260">
        <f>AQ34/AT33</f>
        <v>0.23195084485407058</v>
      </c>
      <c r="AR38" s="18"/>
      <c r="AS38" s="321">
        <f>AS33/'2019_метраж'!D20</f>
        <v>0.5589843646826251</v>
      </c>
      <c r="AT38" s="239">
        <f>AT33*12</f>
        <v>9397807.8768</v>
      </c>
    </row>
    <row r="39" spans="6:49" ht="15.75">
      <c r="F39" s="322">
        <f>F33*2*1.083+F33*2*0.302</f>
        <v>24930</v>
      </c>
      <c r="L39" s="205"/>
      <c r="Z39" s="253">
        <f>Z21*G21/H21</f>
        <v>1503.6196378378377</v>
      </c>
      <c r="AL39" s="18">
        <f>AR39/L33</f>
        <v>1.2999999999999998</v>
      </c>
      <c r="AR39" s="239">
        <f>L33+AJ38+AL38+AN38</f>
        <v>781947.6600000001</v>
      </c>
      <c r="AS39" s="322" t="s">
        <v>374</v>
      </c>
      <c r="AT39" s="239"/>
      <c r="AU39" s="239"/>
      <c r="AV39" s="239"/>
      <c r="AW39" s="239"/>
    </row>
    <row r="40" spans="1:49" ht="15.75">
      <c r="A40" s="4"/>
      <c r="B40" s="4" t="s">
        <v>64</v>
      </c>
      <c r="F40" s="499" t="s">
        <v>375</v>
      </c>
      <c r="M40" s="211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353">
        <f>AT33-I43-I44-J43-J44-K43-K44-O44</f>
        <v>748886.0526000002</v>
      </c>
      <c r="AU40" s="240"/>
      <c r="AV40" s="240"/>
      <c r="AW40" s="240"/>
    </row>
    <row r="41" spans="6:14" ht="15.75">
      <c r="F41" s="499" t="s">
        <v>376</v>
      </c>
      <c r="I41" s="500"/>
      <c r="J41" s="500"/>
      <c r="N41" s="253" t="s">
        <v>383</v>
      </c>
    </row>
    <row r="42" spans="5:45" ht="15.75">
      <c r="E42" s="288">
        <f>SUM(L22:L26)</f>
        <v>146854.8</v>
      </c>
      <c r="F42" s="501">
        <f>F39/(См_доход!E8+См_доход!E21)</f>
        <v>0.23167949981459357</v>
      </c>
      <c r="I42" s="502" t="s">
        <v>382</v>
      </c>
      <c r="J42" s="502">
        <v>0.302</v>
      </c>
      <c r="K42" s="502">
        <v>0.302</v>
      </c>
      <c r="N42" s="336" t="s">
        <v>382</v>
      </c>
      <c r="O42" s="336">
        <v>0.302</v>
      </c>
      <c r="P42" s="336">
        <v>0.302</v>
      </c>
      <c r="AS42" s="239">
        <f>AS33/L33</f>
        <v>0.10000000000000003</v>
      </c>
    </row>
    <row r="43" spans="6:16" ht="15.75">
      <c r="F43" s="239">
        <f>F33*2*'2019_метраж'!B20/'2019_метраж'!D20</f>
        <v>15178.386244860054</v>
      </c>
      <c r="G43" s="18" t="s">
        <v>380</v>
      </c>
      <c r="I43" s="322">
        <f>F43*1.083</f>
        <v>16438.192303183438</v>
      </c>
      <c r="J43" s="322">
        <f>F43*0.302</f>
        <v>4583.872645947736</v>
      </c>
      <c r="K43" s="239">
        <f>F43*0.083*K42</f>
        <v>380.4614296136621</v>
      </c>
      <c r="N43" s="324">
        <f>G21*1.083</f>
        <v>6822.9</v>
      </c>
      <c r="O43" s="253">
        <f>G21*O42</f>
        <v>1902.6</v>
      </c>
      <c r="P43" s="324">
        <f>G21*0.083*P42</f>
        <v>157.9158</v>
      </c>
    </row>
    <row r="44" spans="6:15" ht="15.75">
      <c r="F44" s="239">
        <f>F33*2*'2019_метраж'!C20/'2019_метраж'!D20</f>
        <v>2821.613755139942</v>
      </c>
      <c r="G44" s="18" t="s">
        <v>381</v>
      </c>
      <c r="I44" s="322">
        <f>F44*1.083</f>
        <v>3055.807696816557</v>
      </c>
      <c r="J44" s="322">
        <f>F44*0.302</f>
        <v>852.1273540522625</v>
      </c>
      <c r="K44" s="239">
        <f>F44*0.083*K42</f>
        <v>70.72657038633778</v>
      </c>
      <c r="N44" s="324"/>
      <c r="O44" s="335">
        <f>SUM(N43:P43)</f>
        <v>8883.4158</v>
      </c>
    </row>
    <row r="45" spans="14:15" ht="15.75">
      <c r="N45" s="324"/>
      <c r="O45" s="295"/>
    </row>
    <row r="46" ht="15.75">
      <c r="I46" s="501">
        <f>(I43+I44)/E42</f>
        <v>0.13274336283185836</v>
      </c>
    </row>
  </sheetData>
  <sheetProtection/>
  <mergeCells count="51">
    <mergeCell ref="AU14:AU15"/>
    <mergeCell ref="AG9:AG11"/>
    <mergeCell ref="AH9:AH11"/>
    <mergeCell ref="AI9:AI11"/>
    <mergeCell ref="AA8:AI8"/>
    <mergeCell ref="AR9:AR11"/>
    <mergeCell ref="AA9:AA11"/>
    <mergeCell ref="AB9:AB11"/>
    <mergeCell ref="AC9:AC11"/>
    <mergeCell ref="AN9:AN11"/>
    <mergeCell ref="AS9:AS11"/>
    <mergeCell ref="AT8:AW8"/>
    <mergeCell ref="AV9:AV11"/>
    <mergeCell ref="AW9:AW11"/>
    <mergeCell ref="AP9:AP11"/>
    <mergeCell ref="AQ9:AQ11"/>
    <mergeCell ref="AJ38:AK38"/>
    <mergeCell ref="AD9:AD11"/>
    <mergeCell ref="AE9:AE11"/>
    <mergeCell ref="AL38:AM38"/>
    <mergeCell ref="AN38:AO38"/>
    <mergeCell ref="AJ9:AJ11"/>
    <mergeCell ref="AK9:AK11"/>
    <mergeCell ref="AF9:AF11"/>
    <mergeCell ref="AL9:AL11"/>
    <mergeCell ref="AM9:AM11"/>
    <mergeCell ref="A36:B36"/>
    <mergeCell ref="B1:H1"/>
    <mergeCell ref="E3:H3"/>
    <mergeCell ref="J3:L3"/>
    <mergeCell ref="A4:C4"/>
    <mergeCell ref="E4:H4"/>
    <mergeCell ref="J4:L4"/>
    <mergeCell ref="H6:L6"/>
    <mergeCell ref="A7:D7"/>
    <mergeCell ref="H7:L7"/>
    <mergeCell ref="D9:H9"/>
    <mergeCell ref="W9:W11"/>
    <mergeCell ref="AO9:AO11"/>
    <mergeCell ref="A33:B33"/>
    <mergeCell ref="U9:U11"/>
    <mergeCell ref="V9:V11"/>
    <mergeCell ref="Y9:Y11"/>
    <mergeCell ref="Z9:Z11"/>
    <mergeCell ref="X9:X11"/>
    <mergeCell ref="R8:Z8"/>
    <mergeCell ref="P9:Q9"/>
    <mergeCell ref="S9:S11"/>
    <mergeCell ref="T9:T11"/>
    <mergeCell ref="J5:L5"/>
    <mergeCell ref="R9:R11"/>
  </mergeCells>
  <printOptions/>
  <pageMargins left="0" right="0" top="0.15748031496062992" bottom="0" header="0.31496062992125984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K4">
      <selection activeCell="S25" sqref="S25"/>
    </sheetView>
  </sheetViews>
  <sheetFormatPr defaultColWidth="8.796875" defaultRowHeight="14.25"/>
  <cols>
    <col min="1" max="1" width="39.19921875" style="1" customWidth="1"/>
    <col min="2" max="2" width="7.8984375" style="46" hidden="1" customWidth="1"/>
    <col min="3" max="4" width="7.8984375" style="46" customWidth="1"/>
    <col min="5" max="5" width="10.19921875" style="1" customWidth="1"/>
    <col min="6" max="6" width="15.5" style="1" customWidth="1"/>
    <col min="7" max="7" width="14.19921875" style="1" customWidth="1"/>
    <col min="8" max="8" width="13.5" style="1" customWidth="1"/>
    <col min="9" max="9" width="15.69921875" style="1" customWidth="1"/>
    <col min="10" max="10" width="11" style="1" customWidth="1"/>
    <col min="11" max="11" width="14.59765625" style="1" customWidth="1"/>
    <col min="12" max="12" width="13.19921875" style="1" customWidth="1"/>
    <col min="13" max="13" width="13.5" style="1" customWidth="1"/>
    <col min="14" max="14" width="14.19921875" style="1" customWidth="1"/>
    <col min="15" max="16" width="14.8984375" style="1" customWidth="1"/>
    <col min="17" max="18" width="14.59765625" style="1" customWidth="1"/>
    <col min="19" max="21" width="10.69921875" style="1" customWidth="1"/>
    <col min="22" max="23" width="12.69921875" style="92" customWidth="1"/>
    <col min="24" max="24" width="14.09765625" style="1" customWidth="1"/>
    <col min="25" max="25" width="9" style="1" customWidth="1"/>
    <col min="26" max="26" width="11.59765625" style="1" customWidth="1"/>
    <col min="27" max="27" width="9" style="1" customWidth="1"/>
    <col min="28" max="16384" width="9" style="1" customWidth="1"/>
  </cols>
  <sheetData>
    <row r="1" spans="1:14" ht="15">
      <c r="A1" s="857" t="s">
        <v>339</v>
      </c>
      <c r="B1" s="857"/>
      <c r="C1" s="857"/>
      <c r="D1" s="857"/>
      <c r="E1" s="857"/>
      <c r="F1" s="857"/>
      <c r="G1" s="857"/>
      <c r="H1" s="857"/>
      <c r="I1" s="216"/>
      <c r="J1" s="289"/>
      <c r="K1" s="289"/>
      <c r="L1" s="216"/>
      <c r="M1" s="289"/>
      <c r="N1" s="289"/>
    </row>
    <row r="2" spans="1:14" ht="15">
      <c r="A2" s="858" t="s">
        <v>391</v>
      </c>
      <c r="B2" s="858"/>
      <c r="C2" s="858"/>
      <c r="D2" s="858"/>
      <c r="E2" s="858"/>
      <c r="F2" s="858"/>
      <c r="G2" s="858"/>
      <c r="H2" s="858"/>
      <c r="I2" s="217"/>
      <c r="J2" s="290"/>
      <c r="K2" s="290"/>
      <c r="L2" s="217"/>
      <c r="M2" s="290"/>
      <c r="N2" s="290"/>
    </row>
    <row r="3" spans="1:14" ht="15">
      <c r="A3" s="859"/>
      <c r="B3" s="859"/>
      <c r="C3" s="859"/>
      <c r="D3" s="859"/>
      <c r="E3" s="859"/>
      <c r="F3" s="859"/>
      <c r="G3" s="859"/>
      <c r="H3" s="859"/>
      <c r="I3" s="218"/>
      <c r="J3" s="291"/>
      <c r="K3" s="291"/>
      <c r="L3" s="218"/>
      <c r="M3" s="291"/>
      <c r="N3" s="291"/>
    </row>
    <row r="4" spans="1:23" ht="36" customHeight="1">
      <c r="A4" s="22" t="s">
        <v>94</v>
      </c>
      <c r="B4" s="854" t="s">
        <v>337</v>
      </c>
      <c r="C4" s="855"/>
      <c r="D4" s="856"/>
      <c r="E4" s="89" t="s">
        <v>96</v>
      </c>
      <c r="F4" s="860" t="s">
        <v>378</v>
      </c>
      <c r="G4" s="853"/>
      <c r="H4" s="853" t="s">
        <v>379</v>
      </c>
      <c r="I4" s="853"/>
      <c r="J4" s="83"/>
      <c r="K4" s="83"/>
      <c r="L4" s="123">
        <f>Штатное!AT40</f>
        <v>748886.0526000002</v>
      </c>
      <c r="M4" s="83"/>
      <c r="U4" s="92"/>
      <c r="V4" s="92">
        <f>V7*12+V9+V8+W6</f>
        <v>2420514.48</v>
      </c>
      <c r="W4" s="1"/>
    </row>
    <row r="5" spans="1:23" ht="15">
      <c r="A5" s="23" t="s">
        <v>97</v>
      </c>
      <c r="B5" s="24">
        <v>2017</v>
      </c>
      <c r="C5" s="24">
        <v>2018</v>
      </c>
      <c r="D5" s="91">
        <v>2019</v>
      </c>
      <c r="E5" s="89" t="s">
        <v>98</v>
      </c>
      <c r="F5" s="25" t="s">
        <v>99</v>
      </c>
      <c r="G5" s="25" t="s">
        <v>100</v>
      </c>
      <c r="H5" s="25" t="s">
        <v>99</v>
      </c>
      <c r="I5" s="25" t="s">
        <v>100</v>
      </c>
      <c r="J5" s="241"/>
      <c r="K5" s="241"/>
      <c r="L5" s="123">
        <f>(D8+D9)*E8+(D21+D22)*E21</f>
        <v>755087.8533971726</v>
      </c>
      <c r="M5" s="241"/>
      <c r="U5" s="92"/>
      <c r="W5" s="1"/>
    </row>
    <row r="6" spans="1:24" ht="15">
      <c r="A6" s="861" t="s">
        <v>101</v>
      </c>
      <c r="B6" s="861"/>
      <c r="C6" s="861"/>
      <c r="D6" s="861"/>
      <c r="E6" s="862"/>
      <c r="F6" s="861"/>
      <c r="G6" s="861"/>
      <c r="H6" s="861"/>
      <c r="I6" s="242"/>
      <c r="J6" s="242"/>
      <c r="K6" s="242"/>
      <c r="L6" s="242"/>
      <c r="M6" s="242"/>
      <c r="N6" s="242"/>
      <c r="S6" s="1" t="s">
        <v>102</v>
      </c>
      <c r="T6" s="93" t="s">
        <v>103</v>
      </c>
      <c r="U6" s="93">
        <v>2018</v>
      </c>
      <c r="V6" s="93" t="s">
        <v>377</v>
      </c>
      <c r="W6" s="1">
        <v>15000</v>
      </c>
      <c r="X6" s="1" t="s">
        <v>396</v>
      </c>
    </row>
    <row r="7" spans="1:24" ht="15">
      <c r="A7" s="26" t="s">
        <v>104</v>
      </c>
      <c r="B7" s="26"/>
      <c r="C7" s="26"/>
      <c r="D7" s="26"/>
      <c r="E7" s="362">
        <f>E8+E21</f>
        <v>107605.54999449999</v>
      </c>
      <c r="F7" s="24"/>
      <c r="G7" s="24"/>
      <c r="H7" s="24"/>
      <c r="I7" s="91"/>
      <c r="J7" s="89"/>
      <c r="K7" s="89"/>
      <c r="L7" s="92">
        <f>L8+L22</f>
        <v>9061054.240766069</v>
      </c>
      <c r="N7" s="92">
        <f>N8+N22</f>
        <v>8303470.835593195</v>
      </c>
      <c r="O7" s="92"/>
      <c r="S7" s="94" t="s">
        <v>105</v>
      </c>
      <c r="T7" s="95">
        <v>191603.6</v>
      </c>
      <c r="U7" s="95">
        <v>201498.78</v>
      </c>
      <c r="V7" s="95">
        <v>187839.54</v>
      </c>
      <c r="W7" s="94" t="s">
        <v>106</v>
      </c>
      <c r="X7" s="92">
        <f>U7-T7</f>
        <v>9895.179999999993</v>
      </c>
    </row>
    <row r="8" spans="1:23" ht="15">
      <c r="A8" s="27" t="s">
        <v>107</v>
      </c>
      <c r="B8" s="24">
        <v>4.98</v>
      </c>
      <c r="C8" s="28">
        <v>4.98</v>
      </c>
      <c r="D8" s="340">
        <v>4.98</v>
      </c>
      <c r="E8" s="28">
        <f>E10+E11+E12+E13+E14</f>
        <v>90737.69999483999</v>
      </c>
      <c r="F8" s="28">
        <f>C8*E8</f>
        <v>451873.74597430316</v>
      </c>
      <c r="G8" s="28">
        <f aca="true" t="shared" si="0" ref="G8:G17">F8*12</f>
        <v>5422484.951691638</v>
      </c>
      <c r="H8" s="29">
        <f>D8*E8</f>
        <v>451873.74597430316</v>
      </c>
      <c r="I8" s="31">
        <f aca="true" t="shared" si="1" ref="I8:I17">H8*12</f>
        <v>5422484.951691638</v>
      </c>
      <c r="J8" s="68">
        <f>4.98</f>
        <v>4.98</v>
      </c>
      <c r="K8" s="352">
        <f>J8*E8</f>
        <v>451873.74597430316</v>
      </c>
      <c r="L8" s="96">
        <f>I8+I9</f>
        <v>7085877.542776558</v>
      </c>
      <c r="N8" s="96">
        <f>G8+G9</f>
        <v>6522225.875629099</v>
      </c>
      <c r="O8" s="96">
        <f>(D8+D9)*E8+(D21+D22)*E21</f>
        <v>755087.8533971726</v>
      </c>
      <c r="Q8" s="96"/>
      <c r="S8" s="94" t="s">
        <v>108</v>
      </c>
      <c r="T8" s="95">
        <v>77342</v>
      </c>
      <c r="U8" s="95">
        <v>77342</v>
      </c>
      <c r="V8" s="95">
        <f>1560*49</f>
        <v>76440</v>
      </c>
      <c r="W8" s="94" t="s">
        <v>109</v>
      </c>
    </row>
    <row r="9" spans="1:23" ht="15">
      <c r="A9" s="27" t="s">
        <v>110</v>
      </c>
      <c r="B9" s="24">
        <v>1.01</v>
      </c>
      <c r="C9" s="28">
        <v>1.01</v>
      </c>
      <c r="D9" s="323">
        <f>(Штатное!Z33-Штатное!J43)/См_доход!E8</f>
        <v>1.5276566329646817</v>
      </c>
      <c r="E9" s="28"/>
      <c r="F9" s="28">
        <f>C9*E8</f>
        <v>91645.0769947884</v>
      </c>
      <c r="G9" s="28">
        <f t="shared" si="0"/>
        <v>1099740.9239374609</v>
      </c>
      <c r="H9" s="29">
        <f>D9*E8</f>
        <v>138616.04925707667</v>
      </c>
      <c r="I9" s="31">
        <f>H9*12</f>
        <v>1663392.5910849199</v>
      </c>
      <c r="J9" s="68">
        <v>1.53</v>
      </c>
      <c r="K9" s="352">
        <f>J9*E8</f>
        <v>138828.6809921052</v>
      </c>
      <c r="S9" s="1" t="s">
        <v>295</v>
      </c>
      <c r="U9" s="92">
        <v>25000</v>
      </c>
      <c r="V9" s="92">
        <v>75000</v>
      </c>
      <c r="W9" s="1"/>
    </row>
    <row r="10" spans="1:25" ht="15">
      <c r="A10" s="27" t="s">
        <v>111</v>
      </c>
      <c r="B10" s="24">
        <v>1.48</v>
      </c>
      <c r="C10" s="29">
        <f aca="true" t="shared" si="2" ref="C10:D14">P10</f>
        <v>1.5400751019960595</v>
      </c>
      <c r="D10" s="340">
        <f>Q10</f>
        <v>1.4790832904614972</v>
      </c>
      <c r="E10" s="28">
        <f>'2019_метраж'!B9</f>
        <v>19482.09999887</v>
      </c>
      <c r="F10" s="28">
        <f>C10*E10</f>
        <v>30003.897142857142</v>
      </c>
      <c r="G10" s="28">
        <f t="shared" si="0"/>
        <v>360046.7657142857</v>
      </c>
      <c r="H10" s="28">
        <f>D10*E10</f>
        <v>28815.64857142857</v>
      </c>
      <c r="I10" s="31">
        <f t="shared" si="1"/>
        <v>345787.78285714285</v>
      </c>
      <c r="J10" s="68"/>
      <c r="K10" s="68"/>
      <c r="L10" s="97">
        <f>(V7*12+V8+V9+W6)/12/49</f>
        <v>4116.521224489796</v>
      </c>
      <c r="M10" s="97">
        <f>L10*7/D10</f>
        <v>19482.09999887</v>
      </c>
      <c r="N10" s="97">
        <f>(U7*12+U8+U9)/12/49</f>
        <v>4286.271020408163</v>
      </c>
      <c r="O10" s="97">
        <f>L10</f>
        <v>4116.521224489796</v>
      </c>
      <c r="P10" s="97">
        <f>N10*7/E10</f>
        <v>1.5400751019960595</v>
      </c>
      <c r="Q10" s="97">
        <f>O10*7/E10</f>
        <v>1.4790832904614972</v>
      </c>
      <c r="R10" s="97">
        <f>C10-B10</f>
        <v>0.06007510199605948</v>
      </c>
      <c r="S10" s="92">
        <f>R10*E10</f>
        <v>1170.3891445295453</v>
      </c>
      <c r="T10" s="98">
        <v>12.63</v>
      </c>
      <c r="U10" s="99">
        <v>19356.3</v>
      </c>
      <c r="V10" s="106"/>
      <c r="W10" s="123">
        <f>1.55*E10</f>
        <v>30197.2549982485</v>
      </c>
      <c r="Y10" s="100">
        <f>SUM(U10:U14)</f>
        <v>90568.4</v>
      </c>
    </row>
    <row r="11" spans="1:23" ht="15">
      <c r="A11" s="27" t="s">
        <v>112</v>
      </c>
      <c r="B11" s="24">
        <v>1.37</v>
      </c>
      <c r="C11" s="29">
        <f t="shared" si="2"/>
        <v>1.4419266031919817</v>
      </c>
      <c r="D11" s="323">
        <f t="shared" si="2"/>
        <v>1.3848217805021192</v>
      </c>
      <c r="E11" s="28">
        <f>'2019_метраж'!B11</f>
        <v>17835.599999</v>
      </c>
      <c r="F11" s="28">
        <f>C11*E11</f>
        <v>25717.62612244898</v>
      </c>
      <c r="G11" s="28">
        <f t="shared" si="0"/>
        <v>308611.5134693878</v>
      </c>
      <c r="H11" s="28">
        <f>D11*E11</f>
        <v>24699.127346938774</v>
      </c>
      <c r="I11" s="31">
        <f t="shared" si="1"/>
        <v>296389.5281632653</v>
      </c>
      <c r="J11" s="68"/>
      <c r="K11" s="68"/>
      <c r="L11" s="97">
        <f>(V7*12+V8+V9+W6)/12/49</f>
        <v>4116.521224489796</v>
      </c>
      <c r="M11" s="97">
        <f>L11*6/D11</f>
        <v>17835.599999</v>
      </c>
      <c r="N11" s="97">
        <f>(U7*12+U8+U9)/12/49</f>
        <v>4286.271020408163</v>
      </c>
      <c r="O11" s="97">
        <f>L11</f>
        <v>4116.521224489796</v>
      </c>
      <c r="P11" s="97">
        <f>N11*6/E11</f>
        <v>1.4419266031919817</v>
      </c>
      <c r="Q11" s="97">
        <f>O11*6/E11</f>
        <v>1.3848217805021192</v>
      </c>
      <c r="R11" s="97">
        <f>C11-B11</f>
        <v>0.07192660319198163</v>
      </c>
      <c r="S11" s="92">
        <f>R11*E11</f>
        <v>1282.854123818981</v>
      </c>
      <c r="T11" s="98">
        <v>12.52</v>
      </c>
      <c r="U11" s="99">
        <v>17835.5</v>
      </c>
      <c r="V11" s="106"/>
      <c r="W11" s="123">
        <f>1.44*E11</f>
        <v>25683.263998559996</v>
      </c>
    </row>
    <row r="12" spans="1:23" ht="15">
      <c r="A12" s="27" t="s">
        <v>113</v>
      </c>
      <c r="B12" s="24">
        <v>2.74</v>
      </c>
      <c r="C12" s="29">
        <f t="shared" si="2"/>
        <v>2.874170516252734</v>
      </c>
      <c r="D12" s="323">
        <f t="shared" si="2"/>
        <v>2.7603443358162876</v>
      </c>
      <c r="E12" s="28">
        <f>'2019_метраж'!B13</f>
        <v>20878.29999869</v>
      </c>
      <c r="F12" s="28">
        <f>C12*E12</f>
        <v>60007.794285714284</v>
      </c>
      <c r="G12" s="28">
        <f t="shared" si="0"/>
        <v>720093.5314285714</v>
      </c>
      <c r="H12" s="28">
        <f>D12*E12</f>
        <v>57631.29714285715</v>
      </c>
      <c r="I12" s="31">
        <f t="shared" si="1"/>
        <v>691575.5657142857</v>
      </c>
      <c r="J12" s="68"/>
      <c r="K12" s="68"/>
      <c r="L12" s="97">
        <f>(V7*12+V8+V9+W6)/12/49</f>
        <v>4116.521224489796</v>
      </c>
      <c r="M12" s="97">
        <f>L12*14/D12</f>
        <v>20878.29999869</v>
      </c>
      <c r="N12" s="97">
        <f>(U7*12+U8+U9)/12/49</f>
        <v>4286.271020408163</v>
      </c>
      <c r="O12" s="97">
        <f>L12</f>
        <v>4116.521224489796</v>
      </c>
      <c r="P12" s="97">
        <f>N12*14/E12</f>
        <v>2.874170516252734</v>
      </c>
      <c r="Q12" s="97">
        <f>O12*14/E12</f>
        <v>2.7603443358162876</v>
      </c>
      <c r="R12" s="97">
        <f>C12-B12</f>
        <v>0.13417051625273357</v>
      </c>
      <c r="S12" s="92">
        <f>R12*E12</f>
        <v>2801.252289303684</v>
      </c>
      <c r="T12" s="98">
        <v>13.89</v>
      </c>
      <c r="U12" s="99">
        <v>20878.5</v>
      </c>
      <c r="V12" s="106"/>
      <c r="W12" s="123">
        <f>2.87*E12</f>
        <v>59920.7209962403</v>
      </c>
    </row>
    <row r="13" spans="1:23" ht="15">
      <c r="A13" s="27" t="s">
        <v>114</v>
      </c>
      <c r="B13" s="24">
        <v>2.75</v>
      </c>
      <c r="C13" s="29">
        <f t="shared" si="2"/>
        <v>2.886202870284226</v>
      </c>
      <c r="D13" s="323">
        <f t="shared" si="2"/>
        <v>2.771900170833574</v>
      </c>
      <c r="E13" s="28">
        <f>'2019_метраж'!B15</f>
        <v>14850.899999229998</v>
      </c>
      <c r="F13" s="28">
        <f>C13*E13</f>
        <v>42862.71020408163</v>
      </c>
      <c r="G13" s="28">
        <f t="shared" si="0"/>
        <v>514352.52244897955</v>
      </c>
      <c r="H13" s="28">
        <f>D13*E13</f>
        <v>41165.21224489796</v>
      </c>
      <c r="I13" s="31">
        <f t="shared" si="1"/>
        <v>493982.54693877546</v>
      </c>
      <c r="J13" s="68"/>
      <c r="K13" s="68"/>
      <c r="L13" s="97">
        <f>(V7*12+V8+V9+W6)/12/49</f>
        <v>4116.521224489796</v>
      </c>
      <c r="M13" s="97">
        <f>L13*10/D13</f>
        <v>14850.89999923</v>
      </c>
      <c r="N13" s="97">
        <f>(U7*12+U8+U9)/12/49</f>
        <v>4286.271020408163</v>
      </c>
      <c r="O13" s="97">
        <f>L13</f>
        <v>4116.521224489796</v>
      </c>
      <c r="P13" s="97">
        <f>N13*10/E13</f>
        <v>2.886202870284226</v>
      </c>
      <c r="Q13" s="97">
        <f>O13*10/E13</f>
        <v>2.771900170833574</v>
      </c>
      <c r="R13" s="97">
        <f>C13-B13</f>
        <v>0.13620287028422595</v>
      </c>
      <c r="S13" s="92">
        <f>R13*E13</f>
        <v>2022.7352061991346</v>
      </c>
      <c r="T13" s="98">
        <v>13.9</v>
      </c>
      <c r="U13" s="99">
        <v>14846.4</v>
      </c>
      <c r="V13" s="106"/>
      <c r="W13" s="123">
        <f>2.89*E13</f>
        <v>42919.100997774694</v>
      </c>
    </row>
    <row r="14" spans="1:23" ht="15">
      <c r="A14" s="27" t="s">
        <v>115</v>
      </c>
      <c r="B14" s="24">
        <v>2.77</v>
      </c>
      <c r="C14" s="29">
        <f t="shared" si="2"/>
        <v>2.9074576756087938</v>
      </c>
      <c r="D14" s="323">
        <f t="shared" si="2"/>
        <v>2.7923132191042943</v>
      </c>
      <c r="E14" s="28">
        <f>'2019_метраж'!B17</f>
        <v>17690.79999905</v>
      </c>
      <c r="F14" s="28">
        <f>C14*E14</f>
        <v>51435.252244897965</v>
      </c>
      <c r="G14" s="28">
        <f t="shared" si="0"/>
        <v>617223.0269387756</v>
      </c>
      <c r="H14" s="28">
        <f>D14*E14</f>
        <v>49398.25469387755</v>
      </c>
      <c r="I14" s="31">
        <f t="shared" si="1"/>
        <v>592779.0563265306</v>
      </c>
      <c r="J14" s="68"/>
      <c r="K14" s="68"/>
      <c r="L14" s="97">
        <f>(V7*12+V8+V9+W6)/12/49</f>
        <v>4116.521224489796</v>
      </c>
      <c r="M14" s="97">
        <f>L14*12/D14</f>
        <v>17690.79999905</v>
      </c>
      <c r="N14" s="97">
        <f>(U7*12+U8+U9)/12/49</f>
        <v>4286.271020408163</v>
      </c>
      <c r="O14" s="97">
        <f>L14</f>
        <v>4116.521224489796</v>
      </c>
      <c r="P14" s="97">
        <f>N14*12/E14</f>
        <v>2.9074576756087938</v>
      </c>
      <c r="Q14" s="97">
        <f>O14*12/E14</f>
        <v>2.7923132191042943</v>
      </c>
      <c r="R14" s="97">
        <f>C14-B14</f>
        <v>0.13745767560879374</v>
      </c>
      <c r="S14" s="92">
        <f>R14*E14</f>
        <v>2431.7362475294635</v>
      </c>
      <c r="T14" s="98">
        <v>13.92</v>
      </c>
      <c r="U14" s="99">
        <v>17651.7</v>
      </c>
      <c r="V14" s="106"/>
      <c r="W14" s="123">
        <f>2.91*E14</f>
        <v>51480.2279972355</v>
      </c>
    </row>
    <row r="15" spans="1:23" ht="15">
      <c r="A15" s="27" t="s">
        <v>116</v>
      </c>
      <c r="B15" s="24">
        <v>0.07</v>
      </c>
      <c r="C15" s="28">
        <v>0.07</v>
      </c>
      <c r="D15" s="340">
        <v>0.11</v>
      </c>
      <c r="E15" s="28"/>
      <c r="F15" s="28">
        <f>C15*E8</f>
        <v>6351.6389996388</v>
      </c>
      <c r="G15" s="28">
        <f t="shared" si="0"/>
        <v>76219.6679956656</v>
      </c>
      <c r="H15" s="28">
        <f>D15*E8</f>
        <v>9981.1469994324</v>
      </c>
      <c r="I15" s="31">
        <f t="shared" si="1"/>
        <v>119773.7639931888</v>
      </c>
      <c r="J15" s="68">
        <v>0.1</v>
      </c>
      <c r="K15" s="68">
        <f>J15*E8</f>
        <v>9073.769999483999</v>
      </c>
      <c r="L15" s="97"/>
      <c r="N15" s="97"/>
      <c r="O15" s="97"/>
      <c r="S15" s="95">
        <f>SUM(S10:S14)</f>
        <v>9708.967011380808</v>
      </c>
      <c r="U15" s="92">
        <f>F10+F11+F12+F13+F14</f>
        <v>210027.28000000003</v>
      </c>
      <c r="W15" s="123">
        <f>SUM(W10:W14)</f>
        <v>210200.568988059</v>
      </c>
    </row>
    <row r="16" spans="1:23" ht="15">
      <c r="A16" s="27" t="s">
        <v>117</v>
      </c>
      <c r="B16" s="24">
        <v>2.4</v>
      </c>
      <c r="C16" s="28">
        <v>2.4</v>
      </c>
      <c r="D16" s="340">
        <v>2.4</v>
      </c>
      <c r="E16" s="28"/>
      <c r="F16" s="28">
        <f>C16*E8</f>
        <v>217770.47998761598</v>
      </c>
      <c r="G16" s="28">
        <f t="shared" si="0"/>
        <v>2613245.759851392</v>
      </c>
      <c r="H16" s="28">
        <f>D16*E8</f>
        <v>217770.47998761598</v>
      </c>
      <c r="I16" s="31">
        <f t="shared" si="1"/>
        <v>2613245.759851392</v>
      </c>
      <c r="J16" s="68">
        <f>0.42</f>
        <v>0.42</v>
      </c>
      <c r="K16" s="68">
        <f>(E8*J16+J17*E21)*12</f>
        <v>457318.00797399355</v>
      </c>
      <c r="L16" s="95"/>
      <c r="M16" s="95">
        <f>H19+H27</f>
        <v>45121.54417935555</v>
      </c>
      <c r="N16" s="95">
        <f>F19+G27/12</f>
        <v>165122.26332868933</v>
      </c>
      <c r="O16" s="95"/>
      <c r="P16" s="95">
        <f>G19+G27</f>
        <v>1981467.159944272</v>
      </c>
      <c r="Q16" s="95">
        <f>H19+H27</f>
        <v>45121.54417935555</v>
      </c>
      <c r="R16" s="46" t="s">
        <v>385</v>
      </c>
      <c r="S16" s="46" t="s">
        <v>386</v>
      </c>
      <c r="T16" s="46" t="s">
        <v>387</v>
      </c>
      <c r="U16" s="337">
        <v>204</v>
      </c>
      <c r="V16" s="337"/>
      <c r="W16" s="46">
        <v>202</v>
      </c>
    </row>
    <row r="17" spans="1:24" ht="15">
      <c r="A17" s="27" t="s">
        <v>118</v>
      </c>
      <c r="B17" s="24">
        <v>1.79</v>
      </c>
      <c r="C17" s="28">
        <v>1.79</v>
      </c>
      <c r="D17" s="340">
        <v>1.8</v>
      </c>
      <c r="E17" s="28"/>
      <c r="F17" s="28">
        <f>C17*E8</f>
        <v>162420.4829907636</v>
      </c>
      <c r="G17" s="28">
        <f t="shared" si="0"/>
        <v>1949045.795889163</v>
      </c>
      <c r="H17" s="28">
        <f>D17*E8</f>
        <v>163327.859990712</v>
      </c>
      <c r="I17" s="31">
        <f t="shared" si="1"/>
        <v>1959934.3198885438</v>
      </c>
      <c r="J17" s="68"/>
      <c r="K17" s="68"/>
      <c r="L17" s="95"/>
      <c r="M17" s="95">
        <f>H16+H24</f>
        <v>259940.10498676597</v>
      </c>
      <c r="N17" s="95">
        <f>F16+F24</f>
        <v>259940.10498676597</v>
      </c>
      <c r="O17" s="95"/>
      <c r="P17" s="95">
        <f>G16+G24</f>
        <v>3119281.2598411916</v>
      </c>
      <c r="Q17" s="95">
        <f>H16+H24</f>
        <v>259940.10498676597</v>
      </c>
      <c r="R17" s="103">
        <f>R18+C33</f>
        <v>13.006367558181662</v>
      </c>
      <c r="S17" s="103">
        <f>S18+C33</f>
        <v>12.908219059377583</v>
      </c>
      <c r="T17" s="103">
        <f>T18+C33</f>
        <v>14.340462972438335</v>
      </c>
      <c r="U17" s="103">
        <f>U18+C33</f>
        <v>14.352495326469828</v>
      </c>
      <c r="V17" s="103"/>
      <c r="W17" s="103">
        <f>W18+C33</f>
        <v>14.373750131794395</v>
      </c>
      <c r="X17" s="1" t="s">
        <v>288</v>
      </c>
    </row>
    <row r="18" spans="1:23" ht="15.75" thickBot="1">
      <c r="A18" s="27"/>
      <c r="B18" s="24"/>
      <c r="C18" s="24"/>
      <c r="D18" s="24"/>
      <c r="E18" s="29"/>
      <c r="F18" s="30">
        <f>SUM(F8:F17)</f>
        <v>1140088.70494711</v>
      </c>
      <c r="G18" s="30">
        <f>SUM(G8:G17)</f>
        <v>13681064.459365321</v>
      </c>
      <c r="H18" s="30">
        <f>SUM(H8:H17)</f>
        <v>1183278.82220914</v>
      </c>
      <c r="I18" s="30">
        <f>SUM(I8:I17)</f>
        <v>14199345.866509682</v>
      </c>
      <c r="J18" s="68"/>
      <c r="K18" s="68">
        <f>I16+I24+I41</f>
        <v>4144930.2198411915</v>
      </c>
      <c r="L18" s="95"/>
      <c r="M18" s="95">
        <f>E17+E25</f>
        <v>0</v>
      </c>
      <c r="N18" s="95">
        <f>(C17*E8+C25*E21)</f>
        <v>194469.39799011758</v>
      </c>
      <c r="O18" s="95"/>
      <c r="P18" s="95">
        <f>G17+G25</f>
        <v>2333632.7758814106</v>
      </c>
      <c r="Q18" s="95">
        <f>H17+H25</f>
        <v>193689.98999009997</v>
      </c>
      <c r="R18" s="338">
        <f>SUM(C8+C9+C10+C15+C19+C16+C17)</f>
        <v>12.690075101996062</v>
      </c>
      <c r="S18" s="338">
        <f>C8+C9+C11+C15+C19+C16+C17</f>
        <v>12.591926603191983</v>
      </c>
      <c r="T18" s="338">
        <f>C8+C9+C12+C15+C19+C16+C17</f>
        <v>14.024170516252735</v>
      </c>
      <c r="U18" s="337">
        <f>C8+C9+C13+C15+C19+C16+C17</f>
        <v>14.036202870284228</v>
      </c>
      <c r="V18" s="337"/>
      <c r="W18" s="338">
        <f>C8+C9+C14+C15+C19+C16+C17</f>
        <v>14.057457675608795</v>
      </c>
    </row>
    <row r="19" spans="1:23" ht="15">
      <c r="A19" s="27" t="s">
        <v>390</v>
      </c>
      <c r="B19" s="24">
        <v>0.9</v>
      </c>
      <c r="C19" s="29">
        <v>0.9</v>
      </c>
      <c r="D19" s="340">
        <f>(Штатное!I43+Штатное!J43+L26*E8/(E8+E21))/См_доход!E8</f>
        <v>0.4156848787287111</v>
      </c>
      <c r="E19" s="28"/>
      <c r="F19" s="28">
        <f>C19*E8</f>
        <v>81663.929995356</v>
      </c>
      <c r="G19" s="28">
        <f>F19*12</f>
        <v>979967.1599442719</v>
      </c>
      <c r="H19" s="28">
        <f>J16*E8</f>
        <v>38109.83399783279</v>
      </c>
      <c r="I19" s="31">
        <f>H19*12</f>
        <v>457318.00797399355</v>
      </c>
      <c r="J19" s="339"/>
      <c r="K19" s="339"/>
      <c r="L19" s="351">
        <v>14518194.216</v>
      </c>
      <c r="M19" s="101">
        <f>14518194.216+U7*12</f>
        <v>16936179.576</v>
      </c>
      <c r="N19" s="101">
        <v>14518194.216</v>
      </c>
      <c r="O19" s="101"/>
      <c r="P19" s="101">
        <f>14518194.216+X7*12</f>
        <v>14636936.376</v>
      </c>
      <c r="Q19" s="328"/>
      <c r="R19" s="103">
        <f>R21+C35</f>
        <v>12.29673992342618</v>
      </c>
      <c r="S19" s="103">
        <f>S21+C35</f>
        <v>12.202478413466803</v>
      </c>
      <c r="T19" s="103">
        <f>T21+C35</f>
        <v>13.578000968780971</v>
      </c>
      <c r="U19" s="103">
        <f>U21+C35</f>
        <v>13.589556803798256</v>
      </c>
      <c r="V19" s="103"/>
      <c r="W19" s="103">
        <f>W21+C35</f>
        <v>13.609969852068977</v>
      </c>
    </row>
    <row r="20" spans="1:23" ht="15">
      <c r="A20" s="26" t="s">
        <v>119</v>
      </c>
      <c r="B20" s="26"/>
      <c r="C20" s="28"/>
      <c r="D20" s="26"/>
      <c r="E20" s="28"/>
      <c r="F20" s="28"/>
      <c r="G20" s="31"/>
      <c r="H20" s="28"/>
      <c r="I20" s="31"/>
      <c r="J20" s="547"/>
      <c r="K20" s="547"/>
      <c r="L20" s="548"/>
      <c r="M20" s="549"/>
      <c r="N20" s="549"/>
      <c r="O20" s="549"/>
      <c r="P20" s="549"/>
      <c r="Q20" s="328"/>
      <c r="R20" s="105"/>
      <c r="S20" s="105"/>
      <c r="T20" s="105"/>
      <c r="U20" s="105"/>
      <c r="V20" s="105"/>
      <c r="W20" s="105"/>
    </row>
    <row r="21" spans="1:23" ht="15.75" thickBot="1">
      <c r="A21" s="27" t="s">
        <v>107</v>
      </c>
      <c r="B21" s="362">
        <v>7.32</v>
      </c>
      <c r="C21" s="377">
        <v>7.32</v>
      </c>
      <c r="D21" s="361">
        <f>(Штатное!O33+Штатное!Q33)/E21-D23</f>
        <v>7.478458942388023</v>
      </c>
      <c r="E21" s="361">
        <f>'2019_метраж'!C20</f>
        <v>16867.849999659997</v>
      </c>
      <c r="F21" s="361">
        <f>C21*E21</f>
        <v>123472.66199751118</v>
      </c>
      <c r="G21" s="361">
        <f>F21*12</f>
        <v>1481671.9439701342</v>
      </c>
      <c r="H21" s="361">
        <f>D21*E21</f>
        <v>126145.5236688171</v>
      </c>
      <c r="I21" s="361">
        <f>H21*12</f>
        <v>1513746.284025805</v>
      </c>
      <c r="J21" s="243"/>
      <c r="K21" s="243"/>
      <c r="L21" s="102">
        <v>2019</v>
      </c>
      <c r="M21" s="102">
        <v>2018</v>
      </c>
      <c r="N21" s="102">
        <v>2017</v>
      </c>
      <c r="O21" s="102"/>
      <c r="P21" s="102">
        <v>2018</v>
      </c>
      <c r="Q21" s="329"/>
      <c r="R21" s="338">
        <f>SUM(D8+D9+D10+D15+D16+D17)</f>
        <v>12.29673992342618</v>
      </c>
      <c r="S21" s="338">
        <f>D8+D9+D11+D15+D16+D17</f>
        <v>12.202478413466803</v>
      </c>
      <c r="T21" s="338">
        <f>D8+D9+D12+D15+D16+D17</f>
        <v>13.578000968780971</v>
      </c>
      <c r="U21" s="337">
        <f>D8+D9+D13+D15+D16+D17</f>
        <v>13.589556803798256</v>
      </c>
      <c r="V21" s="337"/>
      <c r="W21" s="338">
        <f>D8+D9+D14+D15+D16+D17</f>
        <v>13.609969852068977</v>
      </c>
    </row>
    <row r="22" spans="1:23" ht="15">
      <c r="A22" s="27" t="s">
        <v>110</v>
      </c>
      <c r="B22" s="362">
        <v>1.48</v>
      </c>
      <c r="C22" s="361">
        <v>1.48</v>
      </c>
      <c r="D22" s="361">
        <f>Штатное!AI33/См_доход!E21</f>
        <v>2.279634600601183</v>
      </c>
      <c r="E22" s="361"/>
      <c r="F22" s="361">
        <f>C22*E21</f>
        <v>24964.417999496796</v>
      </c>
      <c r="G22" s="361">
        <f>F22*12</f>
        <v>299573.01599396154</v>
      </c>
      <c r="H22" s="361">
        <f>D22*E21</f>
        <v>38452.53449697558</v>
      </c>
      <c r="I22" s="361">
        <f>H22*12</f>
        <v>461430.413963707</v>
      </c>
      <c r="J22" s="243"/>
      <c r="K22" s="243"/>
      <c r="L22" s="92">
        <f>I21+I22</f>
        <v>1975176.697989512</v>
      </c>
      <c r="N22" s="92">
        <f>G21+G22</f>
        <v>1781244.9599640958</v>
      </c>
      <c r="O22" s="92"/>
      <c r="V22" s="106"/>
      <c r="W22" s="1"/>
    </row>
    <row r="23" spans="1:23" ht="15">
      <c r="A23" s="27" t="s">
        <v>116</v>
      </c>
      <c r="B23" s="362">
        <v>0.07</v>
      </c>
      <c r="C23" s="361">
        <v>0.07</v>
      </c>
      <c r="D23" s="362">
        <v>0.07</v>
      </c>
      <c r="E23" s="361"/>
      <c r="F23" s="361">
        <f>C23*E21</f>
        <v>1180.7494999761998</v>
      </c>
      <c r="G23" s="361">
        <f>F23*12</f>
        <v>14168.993999714397</v>
      </c>
      <c r="H23" s="361">
        <f>D23*E21</f>
        <v>1180.7494999761998</v>
      </c>
      <c r="I23" s="361">
        <f>H23*12</f>
        <v>14168.993999714397</v>
      </c>
      <c r="J23" s="243"/>
      <c r="K23" s="243"/>
      <c r="L23" s="243"/>
      <c r="M23" s="243"/>
      <c r="T23" s="103">
        <v>13.23</v>
      </c>
      <c r="U23" s="104">
        <f>E21</f>
        <v>16867.849999659997</v>
      </c>
      <c r="V23" s="106"/>
      <c r="W23" s="1"/>
    </row>
    <row r="24" spans="1:23" ht="15">
      <c r="A24" s="27" t="s">
        <v>117</v>
      </c>
      <c r="B24" s="362">
        <v>2.5</v>
      </c>
      <c r="C24" s="361">
        <v>2.5</v>
      </c>
      <c r="D24" s="362">
        <v>2.5</v>
      </c>
      <c r="E24" s="361"/>
      <c r="F24" s="361">
        <f>C24*E21</f>
        <v>42169.62499914999</v>
      </c>
      <c r="G24" s="367">
        <f>F24*12</f>
        <v>506035.4999897999</v>
      </c>
      <c r="H24" s="367">
        <f>D24*E21</f>
        <v>42169.62499914999</v>
      </c>
      <c r="I24" s="367">
        <f>H24*12</f>
        <v>506035.4999897999</v>
      </c>
      <c r="J24" s="243">
        <f>D23*E21+(D15-0.02)*E8</f>
        <v>9347.142499511798</v>
      </c>
      <c r="K24" s="243"/>
      <c r="L24" s="243">
        <f>H15+H23</f>
        <v>11161.8964994086</v>
      </c>
      <c r="M24" s="243"/>
      <c r="N24" s="96">
        <f>G15+G23</f>
        <v>90388.66199538</v>
      </c>
      <c r="O24" s="96"/>
      <c r="P24" s="96"/>
      <c r="Q24" s="96"/>
      <c r="R24" s="1" t="s">
        <v>120</v>
      </c>
      <c r="T24" s="105">
        <f>C21+C22+C23+C24+C25</f>
        <v>13.270000000000001</v>
      </c>
      <c r="U24" s="106">
        <f>T24*U23</f>
        <v>223836.36949548818</v>
      </c>
      <c r="V24" s="106"/>
      <c r="W24" s="1"/>
    </row>
    <row r="25" spans="1:23" ht="15">
      <c r="A25" s="27" t="s">
        <v>118</v>
      </c>
      <c r="B25" s="363">
        <v>1.9</v>
      </c>
      <c r="C25" s="367">
        <v>1.9</v>
      </c>
      <c r="D25" s="363">
        <v>1.8</v>
      </c>
      <c r="E25" s="361"/>
      <c r="F25" s="550">
        <f>C25*E21</f>
        <v>32048.91499935399</v>
      </c>
      <c r="G25" s="551">
        <f>F25*12</f>
        <v>384586.9799922479</v>
      </c>
      <c r="H25" s="551">
        <f>D25*E21</f>
        <v>30362.129999387995</v>
      </c>
      <c r="I25" s="551">
        <f>H25*12</f>
        <v>364345.55999265594</v>
      </c>
      <c r="J25" s="243">
        <f>H27+H19</f>
        <v>45121.54417935555</v>
      </c>
      <c r="K25" s="243"/>
      <c r="L25" s="243">
        <f>H27+H19</f>
        <v>45121.54417935555</v>
      </c>
      <c r="M25" s="243">
        <f>I27+I19</f>
        <v>541458.5301522666</v>
      </c>
      <c r="N25" s="1" t="s">
        <v>389</v>
      </c>
      <c r="O25" s="107"/>
      <c r="R25" s="1" t="s">
        <v>123</v>
      </c>
      <c r="S25" s="92">
        <f>201498.78-191903.6</f>
        <v>9595.179999999993</v>
      </c>
      <c r="T25" s="105"/>
      <c r="U25" s="106">
        <f>U24*12+600000</f>
        <v>3286036.433945858</v>
      </c>
      <c r="V25" s="106"/>
      <c r="W25" s="1"/>
    </row>
    <row r="26" spans="1:23" ht="15">
      <c r="A26" s="35"/>
      <c r="B26" s="364">
        <f>SUM(B21:B25)</f>
        <v>13.270000000000001</v>
      </c>
      <c r="C26" s="364">
        <f>SUM(C21:C25)</f>
        <v>13.270000000000001</v>
      </c>
      <c r="D26" s="29">
        <f>D25+D24+D23+D22+D21</f>
        <v>14.128093542989205</v>
      </c>
      <c r="E26" s="368"/>
      <c r="F26" s="369">
        <f>SUM(F21:F25)</f>
        <v>223836.36949548815</v>
      </c>
      <c r="G26" s="552">
        <f>SUM(G21:G25)</f>
        <v>2686036.433945858</v>
      </c>
      <c r="H26" s="552">
        <f>SUM(H21:H25)</f>
        <v>238310.56266430684</v>
      </c>
      <c r="I26" s="552">
        <f>SUM(I21:I25)</f>
        <v>2859726.7519716825</v>
      </c>
      <c r="J26" s="243"/>
      <c r="K26" s="243"/>
      <c r="L26" s="243">
        <f>33*600</f>
        <v>19800</v>
      </c>
      <c r="M26" s="243">
        <f>L26*E21/(E21+E8)</f>
        <v>3103.775130653937</v>
      </c>
      <c r="N26" s="107" t="s">
        <v>122</v>
      </c>
      <c r="R26" s="1" t="s">
        <v>124</v>
      </c>
      <c r="S26" s="92">
        <f>28699.65-27217</f>
        <v>1482.6500000000015</v>
      </c>
      <c r="T26" s="105"/>
      <c r="U26" s="106"/>
      <c r="W26" s="1"/>
    </row>
    <row r="27" spans="1:23" ht="15">
      <c r="A27" s="27" t="s">
        <v>390</v>
      </c>
      <c r="B27" s="362"/>
      <c r="C27" s="365"/>
      <c r="D27" s="377">
        <f>(Штатное!I44+Штатное!J44+L26*E21/(E21+E8))/См_доход!E21</f>
        <v>0.4156848787287111</v>
      </c>
      <c r="E27" s="366"/>
      <c r="F27" s="550"/>
      <c r="G27" s="552">
        <f>(3300*365/3)+600000</f>
        <v>1001500</v>
      </c>
      <c r="H27" s="551">
        <f>D27*E21</f>
        <v>7011.710181522756</v>
      </c>
      <c r="I27" s="551">
        <f>H27*12</f>
        <v>84140.52217827307</v>
      </c>
      <c r="J27" s="243"/>
      <c r="K27" s="243"/>
      <c r="L27" s="243"/>
      <c r="M27" s="243">
        <f>L26*E8/(E8+E21)</f>
        <v>16696.224869346064</v>
      </c>
      <c r="R27" s="1" t="s">
        <v>125</v>
      </c>
      <c r="S27" s="92">
        <f>119520.5-(20*365*155+3300*(365/3))/12</f>
        <v>-8229.5</v>
      </c>
      <c r="T27" s="92"/>
      <c r="U27" s="92"/>
      <c r="W27" s="1"/>
    </row>
    <row r="28" spans="1:23" ht="15.75" thickBot="1">
      <c r="A28" s="36" t="s">
        <v>127</v>
      </c>
      <c r="B28" s="26"/>
      <c r="C28" s="37"/>
      <c r="D28" s="26"/>
      <c r="E28" s="33"/>
      <c r="F28" s="849" t="s">
        <v>128</v>
      </c>
      <c r="G28" s="850"/>
      <c r="H28" s="850" t="s">
        <v>128</v>
      </c>
      <c r="I28" s="850"/>
      <c r="J28" s="243"/>
      <c r="K28" s="243"/>
      <c r="L28" s="243"/>
      <c r="M28" s="243"/>
      <c r="S28" s="92"/>
      <c r="T28" s="92"/>
      <c r="U28" s="92"/>
      <c r="W28" s="1"/>
    </row>
    <row r="29" spans="1:23" ht="15.75" thickBot="1">
      <c r="A29" s="38"/>
      <c r="B29" s="39"/>
      <c r="C29" s="113"/>
      <c r="D29" s="39"/>
      <c r="E29" s="114"/>
      <c r="F29" s="851" t="s">
        <v>130</v>
      </c>
      <c r="G29" s="851"/>
      <c r="H29" s="851" t="s">
        <v>130</v>
      </c>
      <c r="I29" s="851"/>
      <c r="J29" s="244">
        <v>14.54</v>
      </c>
      <c r="K29" s="244">
        <f>D26*E21</f>
        <v>238310.56266430687</v>
      </c>
      <c r="L29" s="244"/>
      <c r="M29" s="244"/>
      <c r="N29" s="109">
        <v>3743352</v>
      </c>
      <c r="O29" s="325"/>
      <c r="P29" s="110">
        <f>N29</f>
        <v>3743352</v>
      </c>
      <c r="Q29" s="330"/>
      <c r="S29" s="95">
        <f>SUM(S25:S27)</f>
        <v>2848.3299999999945</v>
      </c>
      <c r="T29" s="108">
        <f>(20*365*155+3300*0.83*(365/3))/12</f>
        <v>122062.08333333333</v>
      </c>
      <c r="U29" s="92" t="s">
        <v>126</v>
      </c>
      <c r="W29" s="1"/>
    </row>
    <row r="30" spans="1:23" ht="15">
      <c r="A30" s="35" t="s">
        <v>129</v>
      </c>
      <c r="B30" s="24">
        <v>3.84</v>
      </c>
      <c r="C30" s="37">
        <v>4</v>
      </c>
      <c r="D30" s="28">
        <v>4.3</v>
      </c>
      <c r="E30" s="32"/>
      <c r="F30" s="66">
        <f>'Бюдж поступл'!E21</f>
        <v>151979.40723993455</v>
      </c>
      <c r="G30" s="69">
        <f>F30*12</f>
        <v>1823752.8868792146</v>
      </c>
      <c r="H30" s="66">
        <f>'[4]Анализ объемов'!$J$29*D30</f>
        <v>254945.7064817027</v>
      </c>
      <c r="I30" s="376">
        <f>H30*12</f>
        <v>3059348.4777804324</v>
      </c>
      <c r="J30" s="245"/>
      <c r="K30" s="245"/>
      <c r="L30" s="245"/>
      <c r="M30" s="245"/>
      <c r="N30" s="111">
        <f>N29+N19</f>
        <v>18261546.216</v>
      </c>
      <c r="O30" s="326"/>
      <c r="P30" s="112">
        <f>P19+P29</f>
        <v>18380288.376000002</v>
      </c>
      <c r="Q30" s="331"/>
      <c r="T30" s="92">
        <f>F19+(G27-600000)/12</f>
        <v>115122.26332868933</v>
      </c>
      <c r="U30" s="92"/>
      <c r="W30" s="1"/>
    </row>
    <row r="31" spans="1:23" ht="15.75" thickBot="1">
      <c r="A31" s="35"/>
      <c r="B31" s="24"/>
      <c r="C31" s="113"/>
      <c r="D31" s="24"/>
      <c r="E31" s="117"/>
      <c r="F31" s="852"/>
      <c r="G31" s="852"/>
      <c r="H31" s="852"/>
      <c r="I31" s="852"/>
      <c r="J31" s="246"/>
      <c r="K31" s="246"/>
      <c r="L31" s="246"/>
      <c r="M31" s="246"/>
      <c r="N31" s="115">
        <v>2017</v>
      </c>
      <c r="O31" s="327"/>
      <c r="P31" s="116">
        <v>2018</v>
      </c>
      <c r="Q31" s="329"/>
      <c r="U31" s="92"/>
      <c r="W31" s="1"/>
    </row>
    <row r="32" spans="1:23" ht="15">
      <c r="A32" s="40" t="s">
        <v>131</v>
      </c>
      <c r="B32" s="26"/>
      <c r="C32" s="113"/>
      <c r="D32" s="26"/>
      <c r="E32" s="117"/>
      <c r="F32" s="67"/>
      <c r="G32" s="67"/>
      <c r="H32" s="67"/>
      <c r="I32" s="67"/>
      <c r="J32" s="247"/>
      <c r="K32" s="247"/>
      <c r="L32" s="247"/>
      <c r="M32" s="247"/>
      <c r="P32" s="92">
        <f>G18+G26</f>
        <v>16367100.89331118</v>
      </c>
      <c r="Q32" s="92"/>
      <c r="U32" s="92"/>
      <c r="W32" s="1"/>
    </row>
    <row r="33" spans="1:23" ht="15">
      <c r="A33" s="41" t="s">
        <v>132</v>
      </c>
      <c r="B33" s="24">
        <v>0.3</v>
      </c>
      <c r="C33" s="258">
        <f>F33/E8</f>
        <v>0.31629245618559954</v>
      </c>
      <c r="D33" s="360">
        <f>H33/E8</f>
        <v>0.3217075151966604</v>
      </c>
      <c r="E33" s="28">
        <f>E8</f>
        <v>90737.69999483999</v>
      </c>
      <c r="F33" s="68">
        <v>28699.65</v>
      </c>
      <c r="G33" s="68">
        <f>F33*12</f>
        <v>344395.80000000005</v>
      </c>
      <c r="H33" s="68">
        <v>29191</v>
      </c>
      <c r="I33" s="375">
        <f>H33*12</f>
        <v>350292</v>
      </c>
      <c r="J33" s="248"/>
      <c r="K33" s="248"/>
      <c r="L33" s="248"/>
      <c r="M33" s="248"/>
      <c r="U33" s="92"/>
      <c r="W33" s="1"/>
    </row>
    <row r="34" spans="1:23" ht="15">
      <c r="A34" s="88"/>
      <c r="B34" s="42"/>
      <c r="C34" s="42"/>
      <c r="D34" s="42"/>
      <c r="E34" s="332"/>
      <c r="F34" s="68"/>
      <c r="G34" s="68"/>
      <c r="H34" s="68"/>
      <c r="I34" s="68"/>
      <c r="J34" s="67"/>
      <c r="K34" s="67"/>
      <c r="L34" s="67"/>
      <c r="M34" s="67" t="s">
        <v>388</v>
      </c>
      <c r="N34" s="90"/>
      <c r="U34" s="92"/>
      <c r="W34" s="1"/>
    </row>
    <row r="35" spans="1:23" ht="15">
      <c r="A35" s="27"/>
      <c r="B35" s="42"/>
      <c r="C35" s="42"/>
      <c r="D35" s="42"/>
      <c r="E35" s="332"/>
      <c r="F35" s="67"/>
      <c r="G35" s="67"/>
      <c r="H35" s="67"/>
      <c r="I35" s="67"/>
      <c r="J35" s="68"/>
      <c r="K35" s="68"/>
      <c r="L35" s="68">
        <f>0.32*E8</f>
        <v>29036.063998348796</v>
      </c>
      <c r="M35" s="67">
        <f>H33-L35</f>
        <v>154.9360016512037</v>
      </c>
      <c r="N35" s="339">
        <f>M35*12</f>
        <v>1859.2320198144444</v>
      </c>
      <c r="U35" s="92"/>
      <c r="W35" s="1"/>
    </row>
    <row r="36" spans="1:23" ht="15">
      <c r="A36" s="43" t="s">
        <v>134</v>
      </c>
      <c r="B36" s="44"/>
      <c r="C36" s="44"/>
      <c r="D36" s="44"/>
      <c r="E36" s="332"/>
      <c r="F36" s="67"/>
      <c r="G36" s="67"/>
      <c r="H36" s="67"/>
      <c r="I36" s="67"/>
      <c r="J36" s="243"/>
      <c r="K36" s="243"/>
      <c r="L36" s="243"/>
      <c r="M36" s="243"/>
      <c r="U36" s="92"/>
      <c r="W36" s="1"/>
    </row>
    <row r="37" spans="1:25" s="118" customFormat="1" ht="15">
      <c r="A37" s="45" t="s">
        <v>135</v>
      </c>
      <c r="B37" s="24">
        <v>5800</v>
      </c>
      <c r="C37" s="24"/>
      <c r="D37" s="24"/>
      <c r="E37" s="332"/>
      <c r="F37" s="68">
        <f>6500</f>
        <v>6500</v>
      </c>
      <c r="G37" s="68">
        <f>F37*12</f>
        <v>78000</v>
      </c>
      <c r="H37" s="68">
        <f>6500</f>
        <v>6500</v>
      </c>
      <c r="I37" s="68">
        <f>H37*12</f>
        <v>78000</v>
      </c>
      <c r="J37" s="244"/>
      <c r="K37" s="244"/>
      <c r="L37" s="244"/>
      <c r="M37" s="244"/>
      <c r="N37" s="1"/>
      <c r="O37" s="1"/>
      <c r="P37" s="1"/>
      <c r="Q37" s="1"/>
      <c r="R37" s="1"/>
      <c r="S37" s="1"/>
      <c r="T37" s="1"/>
      <c r="U37" s="92"/>
      <c r="V37" s="92"/>
      <c r="W37" s="1"/>
      <c r="X37" s="1"/>
      <c r="Y37" s="1"/>
    </row>
    <row r="38" spans="1:25" s="118" customFormat="1" ht="15">
      <c r="A38" s="86" t="s">
        <v>136</v>
      </c>
      <c r="B38" s="34">
        <v>59354</v>
      </c>
      <c r="C38" s="34"/>
      <c r="D38" s="34"/>
      <c r="E38" s="333"/>
      <c r="F38" s="87">
        <f>(75434.08*4+60189.08*8)/12</f>
        <v>65270.746666666666</v>
      </c>
      <c r="G38" s="87">
        <f>F38*12</f>
        <v>783248.96</v>
      </c>
      <c r="H38" s="87">
        <f>(75434.08*4+60189.08*8)/12</f>
        <v>65270.746666666666</v>
      </c>
      <c r="I38" s="87">
        <f>H38*12</f>
        <v>783248.96</v>
      </c>
      <c r="J38" s="244"/>
      <c r="K38" s="244"/>
      <c r="L38" s="244"/>
      <c r="M38" s="244"/>
      <c r="N38" s="1"/>
      <c r="O38" s="1"/>
      <c r="P38" s="1"/>
      <c r="Q38" s="1"/>
      <c r="R38" s="1"/>
      <c r="S38" s="1"/>
      <c r="T38" s="1"/>
      <c r="U38" s="92"/>
      <c r="V38" s="92"/>
      <c r="W38" s="1"/>
      <c r="X38" s="1"/>
      <c r="Y38" s="1"/>
    </row>
    <row r="39" spans="1:25" s="118" customFormat="1" ht="15">
      <c r="A39" s="88" t="s">
        <v>137</v>
      </c>
      <c r="B39" s="89">
        <v>12100</v>
      </c>
      <c r="C39" s="89"/>
      <c r="D39" s="89"/>
      <c r="E39" s="334"/>
      <c r="F39" s="68">
        <v>13200</v>
      </c>
      <c r="G39" s="68">
        <f>F39*12</f>
        <v>158400</v>
      </c>
      <c r="H39" s="68">
        <f>13200-2000</f>
        <v>11200</v>
      </c>
      <c r="I39" s="68">
        <f>H39*12</f>
        <v>134400</v>
      </c>
      <c r="J39" s="243"/>
      <c r="K39" s="243">
        <f>I18+I26</f>
        <v>17059072.618481364</v>
      </c>
      <c r="L39" s="243"/>
      <c r="M39" s="243"/>
      <c r="N39" s="55"/>
      <c r="O39" s="55"/>
      <c r="P39" s="1"/>
      <c r="Q39" s="1"/>
      <c r="R39" s="1"/>
      <c r="S39" s="1"/>
      <c r="T39" s="1"/>
      <c r="U39" s="92"/>
      <c r="V39" s="92"/>
      <c r="W39" s="1"/>
      <c r="X39" s="1"/>
      <c r="Y39" s="1"/>
    </row>
    <row r="40" spans="1:25" s="118" customFormat="1" ht="15">
      <c r="A40" s="88" t="s">
        <v>138</v>
      </c>
      <c r="B40" s="89">
        <v>2500</v>
      </c>
      <c r="C40" s="89"/>
      <c r="D40" s="89"/>
      <c r="E40" s="334"/>
      <c r="F40" s="68">
        <v>2500</v>
      </c>
      <c r="G40" s="68">
        <f>F40*12</f>
        <v>30000</v>
      </c>
      <c r="H40" s="68">
        <v>2500</v>
      </c>
      <c r="I40" s="68">
        <f>H40*12</f>
        <v>30000</v>
      </c>
      <c r="J40" s="243"/>
      <c r="K40" s="243"/>
      <c r="L40" s="243"/>
      <c r="M40" s="243"/>
      <c r="N40" s="1"/>
      <c r="O40" s="1"/>
      <c r="P40" s="1"/>
      <c r="Q40" s="1"/>
      <c r="R40" s="1"/>
      <c r="S40" s="1"/>
      <c r="T40" s="1"/>
      <c r="U40" s="92"/>
      <c r="V40" s="92"/>
      <c r="W40" s="1"/>
      <c r="X40" s="1"/>
      <c r="Y40" s="1"/>
    </row>
    <row r="41" spans="1:25" s="118" customFormat="1" ht="15">
      <c r="A41" s="90"/>
      <c r="B41" s="89"/>
      <c r="C41" s="89"/>
      <c r="D41" s="89"/>
      <c r="E41" s="334"/>
      <c r="F41" s="67">
        <f>SUM(F37:F40)</f>
        <v>87470.74666666667</v>
      </c>
      <c r="G41" s="67">
        <f>SUM(G37:G40)</f>
        <v>1049648.96</v>
      </c>
      <c r="H41" s="67">
        <f>SUM(H37:H40)</f>
        <v>85470.74666666667</v>
      </c>
      <c r="I41" s="375">
        <f>SUM(I37:I40)</f>
        <v>1025648.96</v>
      </c>
      <c r="J41" s="243"/>
      <c r="K41" s="243"/>
      <c r="L41" s="243"/>
      <c r="M41" s="243"/>
      <c r="N41" s="1"/>
      <c r="O41" s="1"/>
      <c r="P41" s="1"/>
      <c r="Q41" s="1"/>
      <c r="R41" s="1"/>
      <c r="S41" s="1"/>
      <c r="T41" s="1"/>
      <c r="U41" s="92"/>
      <c r="V41" s="92"/>
      <c r="W41" s="1"/>
      <c r="X41" s="1"/>
      <c r="Y41" s="1"/>
    </row>
    <row r="42" spans="1:25" s="118" customFormat="1" ht="17.25">
      <c r="A42" s="127" t="s">
        <v>298</v>
      </c>
      <c r="B42" s="84"/>
      <c r="C42" s="84"/>
      <c r="D42" s="84"/>
      <c r="E42" s="90"/>
      <c r="F42" s="90"/>
      <c r="G42" s="90"/>
      <c r="H42" s="90"/>
      <c r="I42" s="90"/>
      <c r="J42" s="243"/>
      <c r="K42" s="243"/>
      <c r="L42" s="243"/>
      <c r="M42" s="243"/>
      <c r="N42" s="1"/>
      <c r="O42" s="1"/>
      <c r="P42" s="1"/>
      <c r="Q42" s="1"/>
      <c r="R42" s="1"/>
      <c r="S42" s="1"/>
      <c r="T42" s="1"/>
      <c r="U42" s="92"/>
      <c r="V42" s="92"/>
      <c r="W42" s="1"/>
      <c r="X42" s="1"/>
      <c r="Y42" s="1"/>
    </row>
    <row r="43" spans="1:25" s="118" customFormat="1" ht="16.5">
      <c r="A43" s="128" t="s">
        <v>338</v>
      </c>
      <c r="B43" s="84"/>
      <c r="C43" s="84"/>
      <c r="D43" s="84"/>
      <c r="E43" s="90"/>
      <c r="F43" s="90"/>
      <c r="G43" s="208">
        <v>99981.57</v>
      </c>
      <c r="H43" s="90"/>
      <c r="I43" s="208"/>
      <c r="J43" s="244"/>
      <c r="K43" s="244"/>
      <c r="L43" s="244"/>
      <c r="M43" s="244"/>
      <c r="N43" s="55">
        <v>1220000</v>
      </c>
      <c r="O43" s="55"/>
      <c r="P43" s="1" t="s">
        <v>297</v>
      </c>
      <c r="Q43" s="1"/>
      <c r="R43" s="1"/>
      <c r="S43" s="1"/>
      <c r="T43" s="1"/>
      <c r="U43" s="92"/>
      <c r="V43" s="92"/>
      <c r="W43" s="1"/>
      <c r="X43" s="1"/>
      <c r="Y43" s="1"/>
    </row>
    <row r="44" spans="1:23" ht="16.5">
      <c r="A44" s="128" t="s">
        <v>299</v>
      </c>
      <c r="B44" s="84"/>
      <c r="C44" s="84"/>
      <c r="D44" s="84"/>
      <c r="E44" s="90"/>
      <c r="F44" s="90"/>
      <c r="G44" s="208">
        <v>475930.86</v>
      </c>
      <c r="H44" s="90"/>
      <c r="I44" s="208"/>
      <c r="J44" s="249"/>
      <c r="K44" s="249"/>
      <c r="L44" s="249"/>
      <c r="M44" s="249"/>
      <c r="U44" s="92"/>
      <c r="W44" s="1"/>
    </row>
    <row r="45" spans="1:23" ht="16.5">
      <c r="A45" s="126" t="s">
        <v>300</v>
      </c>
      <c r="B45" s="84"/>
      <c r="C45" s="84"/>
      <c r="D45" s="84"/>
      <c r="E45" s="90"/>
      <c r="F45" s="90"/>
      <c r="G45" s="208">
        <v>643232.28</v>
      </c>
      <c r="H45" s="90"/>
      <c r="I45" s="208"/>
      <c r="J45" s="250"/>
      <c r="K45" s="250"/>
      <c r="L45" s="250"/>
      <c r="M45" s="250"/>
      <c r="U45" s="92"/>
      <c r="W45" s="1"/>
    </row>
    <row r="46" spans="1:23" ht="16.5">
      <c r="A46" s="129" t="s">
        <v>154</v>
      </c>
      <c r="B46" s="85"/>
      <c r="C46" s="85"/>
      <c r="D46" s="85"/>
      <c r="E46" s="90"/>
      <c r="F46" s="90"/>
      <c r="G46" s="209">
        <f>SUM(G43:G45)</f>
        <v>1219144.71</v>
      </c>
      <c r="H46" s="90"/>
      <c r="I46" s="209">
        <f>SUM(I43:I45)</f>
        <v>0</v>
      </c>
      <c r="J46" s="250"/>
      <c r="K46" s="250"/>
      <c r="L46" s="250"/>
      <c r="M46" s="250"/>
      <c r="U46" s="92"/>
      <c r="W46" s="1"/>
    </row>
    <row r="47" spans="6:23" ht="16.5">
      <c r="F47" s="141" t="s">
        <v>279</v>
      </c>
      <c r="G47" s="210">
        <f>G18+G26+G30+G35+G41+G46</f>
        <v>20459647.450190395</v>
      </c>
      <c r="I47" s="210">
        <f>I46+I41+I33+I30+I26+I18-31027.36</f>
        <v>21463334.696261797</v>
      </c>
      <c r="J47" s="250"/>
      <c r="K47" s="250"/>
      <c r="L47" s="250"/>
      <c r="M47" s="250"/>
      <c r="U47" s="92"/>
      <c r="W47" s="1"/>
    </row>
    <row r="48" spans="6:23" ht="17.25" thickBot="1">
      <c r="F48" s="141"/>
      <c r="H48" s="140"/>
      <c r="I48" s="140"/>
      <c r="J48" s="251"/>
      <c r="K48" s="251"/>
      <c r="L48" s="251"/>
      <c r="M48" s="251"/>
      <c r="U48" s="92"/>
      <c r="W48" s="1"/>
    </row>
    <row r="49" spans="5:21" ht="16.5" thickBot="1">
      <c r="E49" s="46" t="s">
        <v>333</v>
      </c>
      <c r="F49" s="46" t="s">
        <v>334</v>
      </c>
      <c r="G49" s="46" t="s">
        <v>384</v>
      </c>
      <c r="K49" s="96">
        <f>'Бюдж поступл'!J31</f>
        <v>20742297.009061616</v>
      </c>
      <c r="M49" s="210"/>
      <c r="N49" s="210"/>
      <c r="O49" s="119"/>
      <c r="P49" s="192"/>
      <c r="U49" s="92"/>
    </row>
    <row r="50" spans="1:16" ht="15.75">
      <c r="A50" s="27" t="s">
        <v>280</v>
      </c>
      <c r="B50" s="91" t="s">
        <v>281</v>
      </c>
      <c r="C50" s="91"/>
      <c r="D50" s="91"/>
      <c r="E50" s="56">
        <v>12.63</v>
      </c>
      <c r="F50" s="121">
        <f>R18</f>
        <v>12.690075101996062</v>
      </c>
      <c r="G50" s="121">
        <f>R19+D19</f>
        <v>12.712424802154892</v>
      </c>
      <c r="J50" s="140"/>
      <c r="K50" s="140"/>
      <c r="L50" s="140"/>
      <c r="M50" s="140"/>
      <c r="N50" s="140"/>
      <c r="O50" s="192"/>
      <c r="P50" s="192"/>
    </row>
    <row r="51" spans="1:11" ht="15">
      <c r="A51" s="27" t="s">
        <v>282</v>
      </c>
      <c r="B51" s="91" t="s">
        <v>281</v>
      </c>
      <c r="C51" s="91"/>
      <c r="D51" s="91"/>
      <c r="E51" s="56">
        <v>12.52</v>
      </c>
      <c r="F51" s="121">
        <f>S18</f>
        <v>12.591926603191983</v>
      </c>
      <c r="G51" s="121">
        <f>S19+D19</f>
        <v>12.618163292195515</v>
      </c>
      <c r="K51" s="92">
        <f>I47-K49</f>
        <v>721037.6872001812</v>
      </c>
    </row>
    <row r="52" spans="1:11" ht="15">
      <c r="A52" s="120" t="s">
        <v>283</v>
      </c>
      <c r="B52" s="91" t="s">
        <v>281</v>
      </c>
      <c r="C52" s="91"/>
      <c r="D52" s="91"/>
      <c r="E52" s="56">
        <v>13.89</v>
      </c>
      <c r="F52" s="121">
        <f>T18</f>
        <v>14.024170516252735</v>
      </c>
      <c r="G52" s="121">
        <f>T19+D19</f>
        <v>13.993685847509683</v>
      </c>
      <c r="K52" s="1">
        <f>K51/(E8+E21)/12</f>
        <v>0.5583956769555066</v>
      </c>
    </row>
    <row r="53" spans="1:7" ht="15">
      <c r="A53" s="27" t="s">
        <v>284</v>
      </c>
      <c r="B53" s="91" t="s">
        <v>281</v>
      </c>
      <c r="C53" s="91"/>
      <c r="D53" s="91"/>
      <c r="E53" s="56">
        <v>13.9</v>
      </c>
      <c r="F53" s="122">
        <f>U18</f>
        <v>14.036202870284228</v>
      </c>
      <c r="G53" s="122">
        <f>U19+D19</f>
        <v>14.005241682526968</v>
      </c>
    </row>
    <row r="54" spans="1:7" ht="15">
      <c r="A54" s="27" t="s">
        <v>286</v>
      </c>
      <c r="B54" s="91" t="s">
        <v>281</v>
      </c>
      <c r="C54" s="91"/>
      <c r="D54" s="91"/>
      <c r="E54" s="56">
        <v>13.92</v>
      </c>
      <c r="F54" s="121">
        <f>W18</f>
        <v>14.057457675608795</v>
      </c>
      <c r="G54" s="121">
        <f>W19+D19</f>
        <v>14.025654730797688</v>
      </c>
    </row>
  </sheetData>
  <sheetProtection/>
  <mergeCells count="13">
    <mergeCell ref="B4:D4"/>
    <mergeCell ref="A1:H1"/>
    <mergeCell ref="A2:H2"/>
    <mergeCell ref="A3:H3"/>
    <mergeCell ref="F4:G4"/>
    <mergeCell ref="A6:H6"/>
    <mergeCell ref="F28:G28"/>
    <mergeCell ref="F29:G29"/>
    <mergeCell ref="F31:G31"/>
    <mergeCell ref="H4:I4"/>
    <mergeCell ref="H28:I28"/>
    <mergeCell ref="H29:I29"/>
    <mergeCell ref="H31:I31"/>
  </mergeCells>
  <printOptions/>
  <pageMargins left="0.1968503937007874" right="0.1968503937007874" top="0.1968503937007874" bottom="0.1968503937007874" header="0" footer="0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zoomScalePageLayoutView="0" workbookViewId="0" topLeftCell="A1">
      <selection activeCell="L27" sqref="L27"/>
    </sheetView>
  </sheetViews>
  <sheetFormatPr defaultColWidth="8.796875" defaultRowHeight="14.25"/>
  <cols>
    <col min="1" max="1" width="27.09765625" style="461" customWidth="1"/>
    <col min="2" max="2" width="7.8984375" style="357" hidden="1" customWidth="1"/>
    <col min="3" max="3" width="9.3984375" style="357" customWidth="1"/>
    <col min="4" max="4" width="9.3984375" style="48" customWidth="1"/>
    <col min="5" max="5" width="12.8984375" style="48" customWidth="1"/>
    <col min="6" max="6" width="14.09765625" style="48" customWidth="1"/>
    <col min="7" max="7" width="11.5" style="48" customWidth="1"/>
    <col min="8" max="8" width="11.69921875" style="48" customWidth="1"/>
    <col min="9" max="9" width="14.69921875" style="48" customWidth="1"/>
    <col min="10" max="10" width="16" style="48" customWidth="1"/>
    <col min="11" max="11" width="10.8984375" style="48" customWidth="1"/>
    <col min="12" max="12" width="18.5" style="48" customWidth="1"/>
    <col min="13" max="13" width="13.3984375" style="48" customWidth="1"/>
    <col min="14" max="16384" width="9" style="48" customWidth="1"/>
  </cols>
  <sheetData>
    <row r="1" spans="1:12" s="49" customFormat="1" ht="20.25" customHeight="1" thickBot="1">
      <c r="A1" s="870" t="s">
        <v>392</v>
      </c>
      <c r="B1" s="870"/>
      <c r="C1" s="870"/>
      <c r="D1" s="870"/>
      <c r="E1" s="870"/>
      <c r="F1" s="870"/>
      <c r="G1" s="370"/>
      <c r="H1" s="370"/>
      <c r="I1" s="370"/>
      <c r="J1" s="370"/>
      <c r="K1" s="48"/>
      <c r="L1" s="48"/>
    </row>
    <row r="2" spans="1:12" s="49" customFormat="1" ht="30" customHeight="1">
      <c r="A2" s="444" t="s">
        <v>94</v>
      </c>
      <c r="B2" s="872" t="s">
        <v>95</v>
      </c>
      <c r="C2" s="873"/>
      <c r="D2" s="438" t="s">
        <v>96</v>
      </c>
      <c r="E2" s="865" t="s">
        <v>393</v>
      </c>
      <c r="F2" s="865"/>
      <c r="G2" s="439" t="s">
        <v>95</v>
      </c>
      <c r="H2" s="438" t="s">
        <v>96</v>
      </c>
      <c r="I2" s="865" t="s">
        <v>394</v>
      </c>
      <c r="J2" s="866"/>
      <c r="K2" s="48"/>
      <c r="L2" s="48"/>
    </row>
    <row r="3" spans="1:12" s="49" customFormat="1" ht="17.25" thickBot="1">
      <c r="A3" s="445" t="s">
        <v>97</v>
      </c>
      <c r="B3" s="440">
        <v>2017</v>
      </c>
      <c r="C3" s="440">
        <v>2018</v>
      </c>
      <c r="D3" s="441" t="s">
        <v>98</v>
      </c>
      <c r="E3" s="442" t="s">
        <v>99</v>
      </c>
      <c r="F3" s="442" t="s">
        <v>100</v>
      </c>
      <c r="G3" s="442">
        <v>2019</v>
      </c>
      <c r="H3" s="441" t="s">
        <v>98</v>
      </c>
      <c r="I3" s="442" t="s">
        <v>99</v>
      </c>
      <c r="J3" s="443" t="s">
        <v>100</v>
      </c>
      <c r="K3" s="48"/>
      <c r="L3" s="48"/>
    </row>
    <row r="4" spans="1:12" s="49" customFormat="1" ht="14.25" customHeight="1">
      <c r="A4" s="867" t="s">
        <v>101</v>
      </c>
      <c r="B4" s="868"/>
      <c r="C4" s="868"/>
      <c r="D4" s="868"/>
      <c r="E4" s="868"/>
      <c r="F4" s="868"/>
      <c r="G4" s="868"/>
      <c r="H4" s="868"/>
      <c r="I4" s="868"/>
      <c r="J4" s="868"/>
      <c r="K4" s="48"/>
      <c r="L4" s="48"/>
    </row>
    <row r="5" spans="1:12" s="49" customFormat="1" ht="12.75" customHeight="1">
      <c r="A5" s="446" t="s">
        <v>139</v>
      </c>
      <c r="B5" s="380"/>
      <c r="C5" s="356"/>
      <c r="D5" s="381"/>
      <c r="E5" s="381"/>
      <c r="F5" s="382"/>
      <c r="G5" s="383"/>
      <c r="H5" s="383"/>
      <c r="I5" s="381"/>
      <c r="J5" s="382"/>
      <c r="K5" s="48"/>
      <c r="L5" s="48"/>
    </row>
    <row r="6" spans="1:12" s="49" customFormat="1" ht="16.5">
      <c r="A6" s="447" t="s">
        <v>15</v>
      </c>
      <c r="B6" s="356">
        <v>12.63</v>
      </c>
      <c r="C6" s="384">
        <v>12.69715088664617</v>
      </c>
      <c r="D6" s="385">
        <v>19393</v>
      </c>
      <c r="E6" s="386">
        <f>C6*D6</f>
        <v>246235.8471447292</v>
      </c>
      <c r="F6" s="387">
        <f>E6*12</f>
        <v>2954830.1657367502</v>
      </c>
      <c r="G6" s="388">
        <f>См_доход!G50</f>
        <v>12.712424802154892</v>
      </c>
      <c r="H6" s="388">
        <f>'2019_метраж'!B9</f>
        <v>19482.09999887</v>
      </c>
      <c r="I6" s="389">
        <f>G6*H6</f>
        <v>247664.73122369676</v>
      </c>
      <c r="J6" s="390">
        <f>I6*12</f>
        <v>2971976.774684361</v>
      </c>
      <c r="K6" s="48"/>
      <c r="L6" s="48"/>
    </row>
    <row r="7" spans="1:12" s="49" customFormat="1" ht="16.5">
      <c r="A7" s="447" t="s">
        <v>140</v>
      </c>
      <c r="B7" s="356">
        <v>12.52</v>
      </c>
      <c r="C7" s="384">
        <v>12.591950857226454</v>
      </c>
      <c r="D7" s="385">
        <v>17835.3</v>
      </c>
      <c r="E7" s="386">
        <f>C7*D7</f>
        <v>224581.22112389098</v>
      </c>
      <c r="F7" s="387">
        <f>E7*12</f>
        <v>2694974.653486692</v>
      </c>
      <c r="G7" s="388">
        <f>См_доход!G51</f>
        <v>12.618163292195515</v>
      </c>
      <c r="H7" s="388">
        <f>'2019_метраж'!B11</f>
        <v>17835.599999</v>
      </c>
      <c r="I7" s="389">
        <f>G7*H7</f>
        <v>225052.51320166414</v>
      </c>
      <c r="J7" s="390">
        <f>I7*12</f>
        <v>2700630.1584199695</v>
      </c>
      <c r="K7" s="48"/>
      <c r="L7" s="48"/>
    </row>
    <row r="8" spans="1:12" s="49" customFormat="1" ht="16.5">
      <c r="A8" s="447" t="s">
        <v>141</v>
      </c>
      <c r="B8" s="356">
        <v>13.89</v>
      </c>
      <c r="C8" s="384">
        <v>14.02419804912843</v>
      </c>
      <c r="D8" s="385">
        <v>20878.1</v>
      </c>
      <c r="E8" s="386">
        <f>C8*D8</f>
        <v>292798.60928950825</v>
      </c>
      <c r="F8" s="387">
        <f>E8*12</f>
        <v>3513583.311474099</v>
      </c>
      <c r="G8" s="388">
        <f>См_доход!G52</f>
        <v>13.993685847509683</v>
      </c>
      <c r="H8" s="388">
        <f>'2019_метраж'!B13</f>
        <v>20878.29999869</v>
      </c>
      <c r="I8" s="389">
        <f>G8*H8</f>
        <v>292164.37121172965</v>
      </c>
      <c r="J8" s="390">
        <f>I8*12</f>
        <v>3505972.4545407556</v>
      </c>
      <c r="K8" s="48"/>
      <c r="L8" s="48"/>
    </row>
    <row r="9" spans="1:12" s="49" customFormat="1" ht="16.5">
      <c r="A9" s="447" t="s">
        <v>142</v>
      </c>
      <c r="B9" s="356">
        <v>13.9</v>
      </c>
      <c r="C9" s="384">
        <v>14.037097135737842</v>
      </c>
      <c r="D9" s="385">
        <v>14846.3</v>
      </c>
      <c r="E9" s="386">
        <f>C9*D9</f>
        <v>208398.9552063047</v>
      </c>
      <c r="F9" s="387">
        <f>E9*12</f>
        <v>2500787.4624756565</v>
      </c>
      <c r="G9" s="388">
        <f>См_доход!G53</f>
        <v>14.005241682526968</v>
      </c>
      <c r="H9" s="388">
        <f>'2019_метраж'!B15</f>
        <v>14850.899999229998</v>
      </c>
      <c r="I9" s="389">
        <f>G9*H9</f>
        <v>207990.44369225568</v>
      </c>
      <c r="J9" s="390">
        <f>I9*12</f>
        <v>2495885.3243070683</v>
      </c>
      <c r="K9" s="48"/>
      <c r="L9" s="48"/>
    </row>
    <row r="10" spans="1:12" s="49" customFormat="1" ht="17.25" thickBot="1">
      <c r="A10" s="448" t="s">
        <v>143</v>
      </c>
      <c r="B10" s="391">
        <v>13.92</v>
      </c>
      <c r="C10" s="392">
        <v>14.058625018954757</v>
      </c>
      <c r="D10" s="393">
        <v>17683.7</v>
      </c>
      <c r="E10" s="394">
        <f>C10*D10</f>
        <v>248608.50724769026</v>
      </c>
      <c r="F10" s="395">
        <f>E10*12</f>
        <v>2983302.086972283</v>
      </c>
      <c r="G10" s="396">
        <f>См_доход!G54</f>
        <v>14.025654730797688</v>
      </c>
      <c r="H10" s="388">
        <f>'2019_метраж'!B17</f>
        <v>17690.79999905</v>
      </c>
      <c r="I10" s="389">
        <f>G10*H10</f>
        <v>248125.05269827138</v>
      </c>
      <c r="J10" s="397">
        <f>I10*12</f>
        <v>2977500.6323792567</v>
      </c>
      <c r="K10" s="48"/>
      <c r="L10" s="48"/>
    </row>
    <row r="11" spans="1:12" s="49" customFormat="1" ht="17.25" thickBot="1">
      <c r="A11" s="449"/>
      <c r="B11" s="198"/>
      <c r="C11" s="198"/>
      <c r="D11" s="199">
        <f>SUM(D6:D10)</f>
        <v>90636.4</v>
      </c>
      <c r="E11" s="199">
        <f>SUM(E6:E10)</f>
        <v>1220623.1400121234</v>
      </c>
      <c r="F11" s="200">
        <f>SUM(F6:F10)</f>
        <v>14647477.680145482</v>
      </c>
      <c r="G11" s="371"/>
      <c r="H11" s="372">
        <f>SUM(H6:H10)</f>
        <v>90737.69999483999</v>
      </c>
      <c r="I11" s="373">
        <f>SUM(I6:I10)</f>
        <v>1220997.1120276176</v>
      </c>
      <c r="J11" s="374">
        <f>SUM(J6:J10)</f>
        <v>14651965.34433141</v>
      </c>
      <c r="K11" s="48"/>
      <c r="L11" s="48"/>
    </row>
    <row r="12" spans="1:12" s="49" customFormat="1" ht="11.25" customHeight="1">
      <c r="A12" s="450" t="s">
        <v>144</v>
      </c>
      <c r="B12" s="398"/>
      <c r="C12" s="399"/>
      <c r="D12" s="400"/>
      <c r="E12" s="401"/>
      <c r="F12" s="402"/>
      <c r="G12" s="403"/>
      <c r="H12" s="404"/>
      <c r="I12" s="405"/>
      <c r="J12" s="406"/>
      <c r="K12" s="48"/>
      <c r="L12" s="48"/>
    </row>
    <row r="13" spans="1:12" s="49" customFormat="1" ht="16.5">
      <c r="A13" s="447" t="s">
        <v>15</v>
      </c>
      <c r="B13" s="407">
        <v>13.23</v>
      </c>
      <c r="C13" s="407">
        <v>13.270000000000001</v>
      </c>
      <c r="D13" s="408">
        <v>4285.5</v>
      </c>
      <c r="E13" s="386">
        <f>C13*D13</f>
        <v>56868.58500000001</v>
      </c>
      <c r="F13" s="387">
        <f>E13*12</f>
        <v>682423.02</v>
      </c>
      <c r="G13" s="388">
        <f>См_доход!D26</f>
        <v>14.128093542989205</v>
      </c>
      <c r="H13" s="388">
        <f>'2019_метраж'!C9</f>
        <v>4291.249999919999</v>
      </c>
      <c r="I13" s="389">
        <f>G13*H13</f>
        <v>60627.18141522216</v>
      </c>
      <c r="J13" s="390">
        <f>I13*12</f>
        <v>727526.1769826659</v>
      </c>
      <c r="K13" s="48"/>
      <c r="L13" s="48"/>
    </row>
    <row r="14" spans="1:12" s="49" customFormat="1" ht="16.5">
      <c r="A14" s="447" t="s">
        <v>140</v>
      </c>
      <c r="B14" s="409">
        <v>13.23</v>
      </c>
      <c r="C14" s="407">
        <v>13.270000000000001</v>
      </c>
      <c r="D14" s="385">
        <v>3652.6</v>
      </c>
      <c r="E14" s="386">
        <f>C14*D14</f>
        <v>48470.002</v>
      </c>
      <c r="F14" s="387">
        <f>E14*12</f>
        <v>581640.024</v>
      </c>
      <c r="G14" s="388">
        <f>См_доход!D26</f>
        <v>14.128093542989205</v>
      </c>
      <c r="H14" s="388">
        <f>'2019_метраж'!C11</f>
        <v>3618.5999999399996</v>
      </c>
      <c r="I14" s="389">
        <f>G14*H14</f>
        <v>51123.91929381305</v>
      </c>
      <c r="J14" s="390">
        <f>I14*12</f>
        <v>613487.0315257566</v>
      </c>
      <c r="K14" s="48"/>
      <c r="L14" s="48"/>
    </row>
    <row r="15" spans="1:12" s="49" customFormat="1" ht="16.5">
      <c r="A15" s="447" t="s">
        <v>141</v>
      </c>
      <c r="B15" s="409">
        <v>13.23</v>
      </c>
      <c r="C15" s="407">
        <v>13.270000000000001</v>
      </c>
      <c r="D15" s="385">
        <v>4621.8</v>
      </c>
      <c r="E15" s="386">
        <f>C15*D15</f>
        <v>61331.28600000001</v>
      </c>
      <c r="F15" s="387">
        <f>E15*12</f>
        <v>735975.432</v>
      </c>
      <c r="G15" s="388">
        <f>См_доход!D26</f>
        <v>14.128093542989205</v>
      </c>
      <c r="H15" s="388">
        <f>'2019_метраж'!C13</f>
        <v>4619.799999920001</v>
      </c>
      <c r="I15" s="410">
        <f>G15*H15</f>
        <v>65268.9665487713</v>
      </c>
      <c r="J15" s="397">
        <f>I15*12</f>
        <v>783227.5985852556</v>
      </c>
      <c r="K15" s="48"/>
      <c r="L15" s="48"/>
    </row>
    <row r="16" spans="1:12" s="49" customFormat="1" ht="16.5">
      <c r="A16" s="447" t="s">
        <v>142</v>
      </c>
      <c r="B16" s="409">
        <v>13.23</v>
      </c>
      <c r="C16" s="407">
        <v>13.270000000000001</v>
      </c>
      <c r="D16" s="385">
        <v>1609.3</v>
      </c>
      <c r="E16" s="386">
        <f>C16*D16</f>
        <v>21355.411</v>
      </c>
      <c r="F16" s="387">
        <f>E16*12</f>
        <v>256264.932</v>
      </c>
      <c r="G16" s="388">
        <f>См_доход!D26</f>
        <v>14.128093542989205</v>
      </c>
      <c r="H16" s="388">
        <f>'2019_метраж'!C15</f>
        <v>1609.2999999400001</v>
      </c>
      <c r="I16" s="411">
        <f>G16*H16</f>
        <v>22736.340937884845</v>
      </c>
      <c r="J16" s="411">
        <f>I16*12</f>
        <v>272836.09125461814</v>
      </c>
      <c r="K16" s="48"/>
      <c r="L16" s="48"/>
    </row>
    <row r="17" spans="1:12" s="49" customFormat="1" ht="17.25" thickBot="1">
      <c r="A17" s="447" t="s">
        <v>143</v>
      </c>
      <c r="B17" s="412">
        <v>13.23</v>
      </c>
      <c r="C17" s="407">
        <v>13.270000000000001</v>
      </c>
      <c r="D17" s="385">
        <v>2728.9</v>
      </c>
      <c r="E17" s="386">
        <f>C17*D17</f>
        <v>36212.503000000004</v>
      </c>
      <c r="F17" s="387">
        <f>E17*12</f>
        <v>434550.0360000001</v>
      </c>
      <c r="G17" s="388">
        <f>См_доход!D26</f>
        <v>14.128093542989205</v>
      </c>
      <c r="H17" s="388">
        <f>'2019_метраж'!C17</f>
        <v>2728.89999994</v>
      </c>
      <c r="I17" s="411">
        <f>G17*H17</f>
        <v>38554.154468615554</v>
      </c>
      <c r="J17" s="411">
        <f>I17*12</f>
        <v>462649.85362338665</v>
      </c>
      <c r="K17" s="48"/>
      <c r="L17" s="48"/>
    </row>
    <row r="18" spans="1:12" s="49" customFormat="1" ht="17.25" thickBot="1">
      <c r="A18" s="451"/>
      <c r="B18" s="413"/>
      <c r="C18" s="201"/>
      <c r="D18" s="199">
        <f>SUM(D13:D17)</f>
        <v>16898.100000000002</v>
      </c>
      <c r="E18" s="199">
        <f aca="true" t="shared" si="0" ref="E18:J18">SUM(E13:E17)</f>
        <v>224237.787</v>
      </c>
      <c r="F18" s="199">
        <f t="shared" si="0"/>
        <v>2690853.444</v>
      </c>
      <c r="G18" s="199"/>
      <c r="H18" s="199">
        <f t="shared" si="0"/>
        <v>16867.849999659997</v>
      </c>
      <c r="I18" s="199">
        <f t="shared" si="0"/>
        <v>238310.5626643069</v>
      </c>
      <c r="J18" s="200">
        <f t="shared" si="0"/>
        <v>2859726.7519716825</v>
      </c>
      <c r="K18" s="48"/>
      <c r="L18" s="51">
        <f>J11+J18</f>
        <v>17511692.09630309</v>
      </c>
    </row>
    <row r="19" spans="1:12" s="49" customFormat="1" ht="29.25" customHeight="1">
      <c r="A19" s="452" t="s">
        <v>127</v>
      </c>
      <c r="B19" s="414"/>
      <c r="C19" s="874"/>
      <c r="D19" s="874"/>
      <c r="E19" s="869" t="s">
        <v>343</v>
      </c>
      <c r="F19" s="869"/>
      <c r="G19" s="378"/>
      <c r="H19" s="378"/>
      <c r="I19" s="869" t="s">
        <v>395</v>
      </c>
      <c r="J19" s="869"/>
      <c r="K19" s="48"/>
      <c r="L19" s="48"/>
    </row>
    <row r="20" spans="1:12" s="49" customFormat="1" ht="17.25" thickBot="1">
      <c r="A20" s="453"/>
      <c r="B20" s="415"/>
      <c r="C20" s="875"/>
      <c r="D20" s="875"/>
      <c r="E20" s="416" t="s">
        <v>99</v>
      </c>
      <c r="F20" s="417" t="s">
        <v>100</v>
      </c>
      <c r="G20" s="418"/>
      <c r="H20" s="418"/>
      <c r="I20" s="416" t="s">
        <v>99</v>
      </c>
      <c r="J20" s="417" t="s">
        <v>100</v>
      </c>
      <c r="K20" s="48"/>
      <c r="L20" s="48"/>
    </row>
    <row r="21" spans="1:12" s="49" customFormat="1" ht="16.5">
      <c r="A21" s="454" t="s">
        <v>129</v>
      </c>
      <c r="B21" s="379"/>
      <c r="C21" s="863"/>
      <c r="D21" s="863"/>
      <c r="E21" s="419">
        <f>1.025*('[1]Анализ_объемов'!$F$27*'[1]Анализ_объемов'!$F$28+'[1]Анализ_объемов'!$H$27*'[1]Анализ_объемов'!$H$28)/12</f>
        <v>151979.40723993455</v>
      </c>
      <c r="F21" s="420">
        <f>E21*12</f>
        <v>1823752.8868792146</v>
      </c>
      <c r="G21" s="421"/>
      <c r="H21" s="421"/>
      <c r="I21" s="419">
        <f>E21*1.2/1.18</f>
        <v>154555.32939654362</v>
      </c>
      <c r="J21" s="420">
        <f>I21*12</f>
        <v>1854663.9527585234</v>
      </c>
      <c r="K21" s="48"/>
      <c r="L21" s="48"/>
    </row>
    <row r="22" spans="1:13" s="49" customFormat="1" ht="18" thickBot="1">
      <c r="A22" s="455" t="s">
        <v>131</v>
      </c>
      <c r="B22" s="422"/>
      <c r="C22" s="871"/>
      <c r="D22" s="871"/>
      <c r="E22" s="423"/>
      <c r="F22" s="424"/>
      <c r="G22" s="425"/>
      <c r="H22" s="425"/>
      <c r="I22" s="423"/>
      <c r="J22" s="424"/>
      <c r="K22" s="48" t="s">
        <v>340</v>
      </c>
      <c r="L22" s="48" t="s">
        <v>341</v>
      </c>
      <c r="M22" s="49" t="s">
        <v>342</v>
      </c>
    </row>
    <row r="23" spans="1:13" s="49" customFormat="1" ht="17.25" thickBot="1">
      <c r="A23" s="456" t="s">
        <v>132</v>
      </c>
      <c r="B23" s="202"/>
      <c r="C23" s="202">
        <v>0.32</v>
      </c>
      <c r="D23" s="203">
        <f>D11</f>
        <v>90636.4</v>
      </c>
      <c r="E23" s="426">
        <f>См_доход!F33</f>
        <v>28699.65</v>
      </c>
      <c r="F23" s="427">
        <f>E23*12</f>
        <v>344395.80000000005</v>
      </c>
      <c r="G23" s="428"/>
      <c r="H23" s="428"/>
      <c r="I23" s="426">
        <f>См_доход!H33</f>
        <v>29191</v>
      </c>
      <c r="J23" s="427">
        <f>I23*12</f>
        <v>350292</v>
      </c>
      <c r="K23" s="48">
        <f>8*C23*D23</f>
        <v>232029.18399999998</v>
      </c>
      <c r="L23" s="429">
        <f>(F23-K23)/4/D23</f>
        <v>0.3099378836758744</v>
      </c>
      <c r="M23" s="430">
        <f>C23*D23*12-F23</f>
        <v>3647.975999999908</v>
      </c>
    </row>
    <row r="24" spans="1:12" s="49" customFormat="1" ht="17.25">
      <c r="A24" s="457" t="s">
        <v>146</v>
      </c>
      <c r="B24" s="431"/>
      <c r="C24" s="194"/>
      <c r="D24" s="195"/>
      <c r="E24" s="195"/>
      <c r="F24" s="196"/>
      <c r="G24" s="195"/>
      <c r="H24" s="195"/>
      <c r="I24" s="195"/>
      <c r="J24" s="196"/>
      <c r="K24" s="48"/>
      <c r="L24" s="48"/>
    </row>
    <row r="25" spans="1:12" s="49" customFormat="1" ht="31.5">
      <c r="A25" s="458" t="str">
        <f>См_доход!A37</f>
        <v>Аренда подсобного помещения</v>
      </c>
      <c r="B25" s="356"/>
      <c r="C25" s="864"/>
      <c r="D25" s="864"/>
      <c r="E25" s="386">
        <f>См_доход!F37</f>
        <v>6500</v>
      </c>
      <c r="F25" s="386">
        <f>E25*12</f>
        <v>78000</v>
      </c>
      <c r="G25" s="386"/>
      <c r="H25" s="386"/>
      <c r="I25" s="386">
        <f>См_доход!H37</f>
        <v>6500</v>
      </c>
      <c r="J25" s="386">
        <f>I25*12</f>
        <v>78000</v>
      </c>
      <c r="K25" s="48"/>
      <c r="L25" s="48"/>
    </row>
    <row r="26" spans="1:12" s="49" customFormat="1" ht="16.5">
      <c r="A26" s="458" t="str">
        <f>См_доход!A38</f>
        <v>Размещение оборудования</v>
      </c>
      <c r="B26" s="356"/>
      <c r="C26" s="864"/>
      <c r="D26" s="864"/>
      <c r="E26" s="386">
        <f>См_доход!F38</f>
        <v>65270.746666666666</v>
      </c>
      <c r="F26" s="432">
        <f>E26*12</f>
        <v>783248.96</v>
      </c>
      <c r="G26" s="432"/>
      <c r="H26" s="432"/>
      <c r="I26" s="386">
        <f>См_доход!H38</f>
        <v>65270.746666666666</v>
      </c>
      <c r="J26" s="432">
        <f>I26*12</f>
        <v>783248.96</v>
      </c>
      <c r="K26" s="358"/>
      <c r="L26" s="48"/>
    </row>
    <row r="27" spans="1:12" s="49" customFormat="1" ht="31.5">
      <c r="A27" s="458" t="str">
        <f>См_доход!A39</f>
        <v>Размещение вытяжных труб и рекламы на фасадах</v>
      </c>
      <c r="B27" s="356"/>
      <c r="C27" s="864"/>
      <c r="D27" s="864"/>
      <c r="E27" s="386">
        <f>См_доход!F39</f>
        <v>13200</v>
      </c>
      <c r="F27" s="386">
        <f>E27*12</f>
        <v>158400</v>
      </c>
      <c r="G27" s="386"/>
      <c r="H27" s="386"/>
      <c r="I27" s="386">
        <f>См_доход!H39</f>
        <v>11200</v>
      </c>
      <c r="J27" s="386">
        <f>I27*12</f>
        <v>134400</v>
      </c>
      <c r="K27" s="48"/>
      <c r="L27" s="48"/>
    </row>
    <row r="28" spans="1:12" s="49" customFormat="1" ht="30.75" customHeight="1">
      <c r="A28" s="458" t="str">
        <f>См_доход!A40</f>
        <v>Техобслуживание оборудования</v>
      </c>
      <c r="B28" s="356"/>
      <c r="C28" s="864"/>
      <c r="D28" s="864"/>
      <c r="E28" s="386">
        <f>См_доход!F40</f>
        <v>2500</v>
      </c>
      <c r="F28" s="386">
        <f>E28*12</f>
        <v>30000</v>
      </c>
      <c r="G28" s="386"/>
      <c r="H28" s="386"/>
      <c r="I28" s="386">
        <f>См_доход!H40</f>
        <v>2500</v>
      </c>
      <c r="J28" s="386">
        <f>I28*12</f>
        <v>30000</v>
      </c>
      <c r="K28" s="48"/>
      <c r="L28" s="48"/>
    </row>
    <row r="29" spans="1:12" s="49" customFormat="1" ht="16.5">
      <c r="A29" s="459"/>
      <c r="B29" s="356"/>
      <c r="C29" s="864"/>
      <c r="D29" s="864"/>
      <c r="E29" s="433">
        <f>SUM(E25:E28)</f>
        <v>87470.74666666667</v>
      </c>
      <c r="F29" s="433">
        <f>SUM(F25:F28)</f>
        <v>1049648.96</v>
      </c>
      <c r="G29" s="433"/>
      <c r="H29" s="433"/>
      <c r="I29" s="433">
        <f>SUM(I25:I28)</f>
        <v>85470.74666666667</v>
      </c>
      <c r="J29" s="433">
        <f>SUM(J25:J28)</f>
        <v>1025648.96</v>
      </c>
      <c r="K29" s="48"/>
      <c r="L29" s="48"/>
    </row>
    <row r="30" spans="1:12" s="49" customFormat="1" ht="25.5" customHeight="1">
      <c r="A30" s="458" t="s">
        <v>294</v>
      </c>
      <c r="B30" s="434"/>
      <c r="C30" s="864"/>
      <c r="D30" s="864"/>
      <c r="E30" s="435"/>
      <c r="F30" s="433">
        <f>См_доход!G46</f>
        <v>1219144.71</v>
      </c>
      <c r="G30" s="433"/>
      <c r="H30" s="433"/>
      <c r="I30" s="435"/>
      <c r="J30" s="433">
        <f>См_доход!I46</f>
        <v>0</v>
      </c>
      <c r="K30" s="51"/>
      <c r="L30" s="51"/>
    </row>
    <row r="31" spans="1:12" s="49" customFormat="1" ht="18.75">
      <c r="A31" s="460"/>
      <c r="B31" s="341"/>
      <c r="C31" s="197"/>
      <c r="D31" s="197"/>
      <c r="E31" s="436"/>
      <c r="F31" s="437">
        <f>F11+F18+F21+F23+F29+F30</f>
        <v>21775273.481024697</v>
      </c>
      <c r="G31" s="436"/>
      <c r="H31" s="436"/>
      <c r="I31" s="436"/>
      <c r="J31" s="437">
        <f>J11+J18+J21+J23+J29+J30</f>
        <v>20742297.009061616</v>
      </c>
      <c r="K31" s="51"/>
      <c r="L31" s="51"/>
    </row>
    <row r="32" ht="16.5">
      <c r="L32" s="51"/>
    </row>
    <row r="33" spans="7:12" ht="18.75">
      <c r="G33" s="437"/>
      <c r="H33" s="437"/>
      <c r="L33" s="51"/>
    </row>
  </sheetData>
  <sheetProtection/>
  <mergeCells count="17">
    <mergeCell ref="I2:J2"/>
    <mergeCell ref="A4:J4"/>
    <mergeCell ref="I19:J19"/>
    <mergeCell ref="A1:F1"/>
    <mergeCell ref="C22:D22"/>
    <mergeCell ref="B2:C2"/>
    <mergeCell ref="E2:F2"/>
    <mergeCell ref="C19:D19"/>
    <mergeCell ref="E19:F19"/>
    <mergeCell ref="C20:D20"/>
    <mergeCell ref="C21:D21"/>
    <mergeCell ref="C30:D30"/>
    <mergeCell ref="C28:D28"/>
    <mergeCell ref="C29:D29"/>
    <mergeCell ref="C25:D25"/>
    <mergeCell ref="C26:D26"/>
    <mergeCell ref="C27:D27"/>
  </mergeCells>
  <printOptions/>
  <pageMargins left="0.5118110236220472" right="0.11811023622047245" top="0" bottom="0" header="0.31496062992125984" footer="0.11811023622047245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zoomScalePageLayoutView="0" workbookViewId="0" topLeftCell="A7">
      <selection activeCell="D9" sqref="D9"/>
    </sheetView>
  </sheetViews>
  <sheetFormatPr defaultColWidth="8.796875" defaultRowHeight="14.25"/>
  <cols>
    <col min="1" max="1" width="50.19921875" style="47" customWidth="1"/>
    <col min="2" max="2" width="9.09765625" style="354" customWidth="1"/>
    <col min="3" max="3" width="12.09765625" style="354" customWidth="1"/>
    <col min="4" max="4" width="9" style="354" customWidth="1"/>
    <col min="5" max="5" width="12.3984375" style="354" customWidth="1"/>
    <col min="6" max="6" width="13.69921875" style="47" customWidth="1"/>
    <col min="7" max="7" width="16.69921875" style="47" customWidth="1"/>
    <col min="8" max="8" width="12.3984375" style="47" customWidth="1"/>
    <col min="9" max="9" width="12.19921875" style="47" customWidth="1"/>
    <col min="10" max="10" width="10.69921875" style="47" customWidth="1"/>
    <col min="11" max="11" width="9" style="47" customWidth="1"/>
    <col min="12" max="16384" width="9" style="47" customWidth="1"/>
  </cols>
  <sheetData>
    <row r="1" spans="1:6" ht="16.5">
      <c r="A1" s="881" t="s">
        <v>347</v>
      </c>
      <c r="B1" s="881"/>
      <c r="C1" s="881"/>
      <c r="D1" s="462"/>
      <c r="E1" s="462"/>
      <c r="F1" s="292"/>
    </row>
    <row r="2" spans="2:6" ht="16.5">
      <c r="B2" s="876" t="s">
        <v>403</v>
      </c>
      <c r="C2" s="876"/>
      <c r="D2" s="876" t="s">
        <v>404</v>
      </c>
      <c r="E2" s="876"/>
      <c r="F2" s="293"/>
    </row>
    <row r="3" spans="1:6" ht="17.25" thickBot="1">
      <c r="A3" s="882"/>
      <c r="B3" s="882"/>
      <c r="C3" s="882"/>
      <c r="D3" s="463"/>
      <c r="E3" s="463"/>
      <c r="F3" s="294"/>
    </row>
    <row r="4" spans="1:9" ht="16.5">
      <c r="A4" s="138" t="s">
        <v>94</v>
      </c>
      <c r="B4" s="877" t="s">
        <v>147</v>
      </c>
      <c r="C4" s="878"/>
      <c r="D4" s="877" t="s">
        <v>147</v>
      </c>
      <c r="E4" s="878"/>
      <c r="F4" s="341"/>
      <c r="G4" s="220">
        <f>См_доход!N7</f>
        <v>8303470.835593195</v>
      </c>
      <c r="H4" s="47">
        <v>8294000</v>
      </c>
      <c r="I4" s="65">
        <f>G4-C13</f>
        <v>-202564.71240680572</v>
      </c>
    </row>
    <row r="5" spans="1:6" ht="17.25" thickBot="1">
      <c r="A5" s="139" t="s">
        <v>97</v>
      </c>
      <c r="B5" s="464" t="s">
        <v>99</v>
      </c>
      <c r="C5" s="465" t="s">
        <v>100</v>
      </c>
      <c r="D5" s="464" t="s">
        <v>99</v>
      </c>
      <c r="E5" s="465" t="s">
        <v>100</v>
      </c>
      <c r="F5" s="124"/>
    </row>
    <row r="6" spans="1:8" ht="17.25">
      <c r="A6" s="350" t="s">
        <v>101</v>
      </c>
      <c r="B6" s="466"/>
      <c r="C6" s="467"/>
      <c r="D6" s="466"/>
      <c r="E6" s="467"/>
      <c r="F6" s="342"/>
      <c r="G6" s="47">
        <f>B9*12</f>
        <v>6484800</v>
      </c>
      <c r="H6" s="47">
        <f>C9/G6</f>
        <v>1.007710338021219</v>
      </c>
    </row>
    <row r="7" spans="1:8" ht="17.25">
      <c r="A7" s="130"/>
      <c r="B7" s="468"/>
      <c r="C7" s="469"/>
      <c r="D7" s="468"/>
      <c r="E7" s="469"/>
      <c r="F7" s="124"/>
      <c r="G7" s="47">
        <f>B10*12</f>
        <v>1466256</v>
      </c>
      <c r="H7" s="47">
        <f>C10/G7</f>
        <v>0.9272296242948025</v>
      </c>
    </row>
    <row r="8" spans="1:9" ht="16.5">
      <c r="A8" s="131" t="s">
        <v>148</v>
      </c>
      <c r="B8" s="470"/>
      <c r="C8" s="469"/>
      <c r="D8" s="470"/>
      <c r="E8" s="469"/>
      <c r="F8" s="124"/>
      <c r="I8" s="47">
        <f>B9*12*1.083*1.202</f>
        <v>8441692.156799998</v>
      </c>
    </row>
    <row r="9" spans="1:9" ht="16.5">
      <c r="A9" s="132" t="s">
        <v>107</v>
      </c>
      <c r="B9" s="471">
        <f>Штатное!J33-15000</f>
        <v>540400</v>
      </c>
      <c r="C9" s="472">
        <f>B9*2+(Штатное!J33-10000)*10</f>
        <v>6534800</v>
      </c>
      <c r="D9" s="471">
        <f>См_доход!H8+См_доход!H21</f>
        <v>578019.2696431202</v>
      </c>
      <c r="E9" s="472">
        <f>D9*12</f>
        <v>6936231.235717443</v>
      </c>
      <c r="F9" s="343"/>
      <c r="G9" s="65">
        <f>SUM(B9:B10)</f>
        <v>662588</v>
      </c>
      <c r="H9" s="65">
        <f>SUM(C9:C10)</f>
        <v>7894356</v>
      </c>
      <c r="I9" s="204"/>
    </row>
    <row r="10" spans="1:6" ht="16.5">
      <c r="A10" s="132" t="s">
        <v>110</v>
      </c>
      <c r="B10" s="471">
        <f>Штатное!AJ33</f>
        <v>122188</v>
      </c>
      <c r="C10" s="472">
        <f>B10*2+(Штатное!AJ33-Штатное!AJ17-Штатное!AJ21)*10</f>
        <v>1359556</v>
      </c>
      <c r="D10" s="471">
        <f>См_доход!H9+См_доход!H22-D11</f>
        <v>117048.72735405221</v>
      </c>
      <c r="E10" s="472">
        <f>D10*12</f>
        <v>1404584.7282486265</v>
      </c>
      <c r="F10" s="343"/>
    </row>
    <row r="11" spans="1:8" ht="34.5" customHeight="1">
      <c r="A11" s="206" t="s">
        <v>348</v>
      </c>
      <c r="B11" s="471">
        <f>Штатное!K33+Штатное!AK33</f>
        <v>56239.80400000001</v>
      </c>
      <c r="C11" s="472">
        <f>B11*2+(Штатное!K33+Штатное!AK33-Штатное!K17-Штатное!AK17-Штатное!K21-Штатное!AK21)*10-14087</f>
        <v>611679.5480000002</v>
      </c>
      <c r="D11" s="471">
        <f>Штатное!K33+Штатное!AK33+Штатное!AM33+Штатное!AO33+Штатное!AQ33</f>
        <v>60019.85640000002</v>
      </c>
      <c r="E11" s="472">
        <f>D11*12</f>
        <v>720238.2768000002</v>
      </c>
      <c r="F11" s="343"/>
      <c r="G11" s="47">
        <f>(B9+B10+B11)*12</f>
        <v>8625933.648</v>
      </c>
      <c r="H11" s="65">
        <f>C13-H4</f>
        <v>212035.54800000042</v>
      </c>
    </row>
    <row r="12" spans="1:8" ht="20.25" customHeight="1">
      <c r="A12" s="206"/>
      <c r="B12" s="471"/>
      <c r="C12" s="472"/>
      <c r="D12" s="471"/>
      <c r="E12" s="472"/>
      <c r="F12" s="343"/>
      <c r="H12" s="65"/>
    </row>
    <row r="13" spans="1:8" ht="17.25">
      <c r="A13" s="132"/>
      <c r="B13" s="470"/>
      <c r="C13" s="473">
        <f>SUM(C9:C11)</f>
        <v>8506035.548</v>
      </c>
      <c r="D13" s="473">
        <f>SUM(D9:D11)</f>
        <v>755087.8533971725</v>
      </c>
      <c r="E13" s="473">
        <f>SUM(E9:E11)</f>
        <v>9061054.24076607</v>
      </c>
      <c r="F13" s="344"/>
      <c r="G13" s="65">
        <f>G11-C13</f>
        <v>119898.09999999963</v>
      </c>
      <c r="H13" s="207">
        <f>H11/12</f>
        <v>17669.629000000034</v>
      </c>
    </row>
    <row r="14" spans="1:6" ht="16.5">
      <c r="A14" s="133"/>
      <c r="B14" s="471"/>
      <c r="C14" s="472"/>
      <c r="D14" s="471"/>
      <c r="E14" s="472"/>
      <c r="F14" s="343"/>
    </row>
    <row r="15" spans="1:6" ht="16.5">
      <c r="A15" s="133" t="s">
        <v>149</v>
      </c>
      <c r="B15" s="471"/>
      <c r="C15" s="472"/>
      <c r="D15" s="471"/>
      <c r="E15" s="472"/>
      <c r="F15" s="343"/>
    </row>
    <row r="16" spans="1:6" ht="17.25">
      <c r="A16" s="133" t="s">
        <v>150</v>
      </c>
      <c r="B16" s="471">
        <f>См_доход!U7+См_доход!U8+15000</f>
        <v>293840.78</v>
      </c>
      <c r="C16" s="473">
        <f>B16*12</f>
        <v>3526089.3600000003</v>
      </c>
      <c r="D16" s="471">
        <f>187839.54+76440/12+25000/12+15000/12</f>
        <v>197542.87333333335</v>
      </c>
      <c r="E16" s="473">
        <f>D16*12</f>
        <v>2370514.4800000004</v>
      </c>
      <c r="F16" s="344"/>
    </row>
    <row r="17" spans="1:6" ht="17.25">
      <c r="A17" s="133" t="s">
        <v>116</v>
      </c>
      <c r="B17" s="471">
        <v>7523</v>
      </c>
      <c r="C17" s="473">
        <f>B17*12</f>
        <v>90276</v>
      </c>
      <c r="D17" s="471">
        <f>См_доход!H23+См_доход!H15</f>
        <v>11161.8964994086</v>
      </c>
      <c r="E17" s="473">
        <f>D17*12</f>
        <v>133942.7579929032</v>
      </c>
      <c r="F17" s="344"/>
    </row>
    <row r="18" spans="1:6" ht="17.25">
      <c r="A18" s="133" t="s">
        <v>344</v>
      </c>
      <c r="B18" s="471">
        <f>См_доход!T29</f>
        <v>122062.08333333333</v>
      </c>
      <c r="C18" s="474">
        <f>B18*12</f>
        <v>1464745</v>
      </c>
      <c r="D18" s="471">
        <f>См_доход!H19+См_доход!H27</f>
        <v>45121.54417935555</v>
      </c>
      <c r="E18" s="474">
        <f>D18*12</f>
        <v>541458.5301522666</v>
      </c>
      <c r="F18" s="345"/>
    </row>
    <row r="19" spans="1:6" ht="17.25">
      <c r="A19" s="133" t="s">
        <v>402</v>
      </c>
      <c r="B19" s="471"/>
      <c r="C19" s="473"/>
      <c r="D19" s="471">
        <f>См_доход!H17+См_доход!H25-113467.86</f>
        <v>80222.12999009997</v>
      </c>
      <c r="E19" s="474">
        <f>D19*12</f>
        <v>962665.5598811996</v>
      </c>
      <c r="F19" s="344"/>
    </row>
    <row r="20" spans="1:9" ht="17.25">
      <c r="A20" s="133" t="s">
        <v>117</v>
      </c>
      <c r="B20" s="471"/>
      <c r="C20" s="473">
        <f>SUM(C22:C29)</f>
        <v>6390000</v>
      </c>
      <c r="D20" s="471"/>
      <c r="E20" s="473">
        <f>SUM(E22:E29)</f>
        <v>4630000</v>
      </c>
      <c r="F20" s="344"/>
      <c r="G20" s="65">
        <f>E44-G45</f>
        <v>1212309.0375112556</v>
      </c>
      <c r="I20" s="47">
        <f>G20/12</f>
        <v>101025.75312593796</v>
      </c>
    </row>
    <row r="21" spans="1:6" ht="16.5">
      <c r="A21" s="134" t="s">
        <v>145</v>
      </c>
      <c r="B21" s="471"/>
      <c r="C21" s="472"/>
      <c r="D21" s="471"/>
      <c r="E21" s="472"/>
      <c r="F21" s="343"/>
    </row>
    <row r="22" spans="1:6" ht="16.5">
      <c r="A22" s="134" t="s">
        <v>397</v>
      </c>
      <c r="B22" s="471"/>
      <c r="C22" s="475">
        <v>3600000</v>
      </c>
      <c r="D22" s="471"/>
      <c r="E22" s="475">
        <v>2500000</v>
      </c>
      <c r="F22" s="346"/>
    </row>
    <row r="23" spans="1:9" ht="16.5">
      <c r="A23" s="134" t="s">
        <v>398</v>
      </c>
      <c r="B23" s="471"/>
      <c r="C23" s="475">
        <v>320000</v>
      </c>
      <c r="D23" s="471"/>
      <c r="E23" s="475">
        <v>30000</v>
      </c>
      <c r="F23" s="346"/>
      <c r="G23" s="47" t="e">
        <f>-A23</f>
        <v>#VALUE!</v>
      </c>
      <c r="I23" s="47" t="s">
        <v>289</v>
      </c>
    </row>
    <row r="24" spans="1:6" ht="16.5">
      <c r="A24" s="134" t="s">
        <v>399</v>
      </c>
      <c r="B24" s="471"/>
      <c r="C24" s="475">
        <v>320000</v>
      </c>
      <c r="D24" s="471"/>
      <c r="E24" s="475">
        <v>400000</v>
      </c>
      <c r="F24" s="346"/>
    </row>
    <row r="25" spans="1:6" ht="16.5">
      <c r="A25" s="134" t="s">
        <v>400</v>
      </c>
      <c r="B25" s="471"/>
      <c r="C25" s="475">
        <v>1100000</v>
      </c>
      <c r="D25" s="471"/>
      <c r="E25" s="475">
        <v>400000</v>
      </c>
      <c r="F25" s="346"/>
    </row>
    <row r="26" spans="1:6" ht="16.5">
      <c r="A26" s="134" t="s">
        <v>401</v>
      </c>
      <c r="B26" s="471"/>
      <c r="C26" s="475">
        <v>200000</v>
      </c>
      <c r="D26" s="471"/>
      <c r="E26" s="475">
        <v>400000</v>
      </c>
      <c r="F26" s="346"/>
    </row>
    <row r="27" spans="1:6" ht="16.5">
      <c r="A27" s="134" t="s">
        <v>289</v>
      </c>
      <c r="B27" s="471"/>
      <c r="C27" s="475"/>
      <c r="D27" s="471"/>
      <c r="E27" s="475">
        <v>200000</v>
      </c>
      <c r="F27" s="346"/>
    </row>
    <row r="28" spans="1:6" ht="16.5">
      <c r="A28" s="134" t="s">
        <v>151</v>
      </c>
      <c r="B28" s="879"/>
      <c r="C28" s="880">
        <v>850000</v>
      </c>
      <c r="D28" s="879"/>
      <c r="E28" s="880">
        <v>700000</v>
      </c>
      <c r="F28" s="347"/>
    </row>
    <row r="29" spans="1:6" ht="16.5">
      <c r="A29" s="134" t="s">
        <v>290</v>
      </c>
      <c r="B29" s="879"/>
      <c r="C29" s="880"/>
      <c r="D29" s="879"/>
      <c r="E29" s="880"/>
      <c r="F29" s="347"/>
    </row>
    <row r="30" spans="1:6" ht="16.5">
      <c r="A30" s="135" t="s">
        <v>152</v>
      </c>
      <c r="B30" s="470"/>
      <c r="C30" s="476">
        <f>C13+C16+C17+C18+C20</f>
        <v>19977145.908</v>
      </c>
      <c r="D30" s="470"/>
      <c r="E30" s="476">
        <f>E13+E16+E17+E18+E19+E20</f>
        <v>17699635.56879244</v>
      </c>
      <c r="F30" s="348"/>
    </row>
    <row r="31" spans="1:6" ht="17.25">
      <c r="A31" s="130" t="s">
        <v>127</v>
      </c>
      <c r="B31" s="468"/>
      <c r="C31" s="472"/>
      <c r="D31" s="468"/>
      <c r="E31" s="472"/>
      <c r="F31" s="343"/>
    </row>
    <row r="32" spans="1:6" ht="16.5">
      <c r="A32" s="136" t="s">
        <v>145</v>
      </c>
      <c r="B32" s="477"/>
      <c r="C32" s="472"/>
      <c r="D32" s="477"/>
      <c r="E32" s="472"/>
      <c r="F32" s="343"/>
    </row>
    <row r="33" spans="1:6" ht="16.5">
      <c r="A33" s="133" t="s">
        <v>129</v>
      </c>
      <c r="B33" s="471">
        <f>'Бюдж поступл'!E21</f>
        <v>151979.40723993455</v>
      </c>
      <c r="C33" s="476">
        <f>B33*12</f>
        <v>1823752.8868792146</v>
      </c>
      <c r="D33" s="471">
        <f>См_доход!H30</f>
        <v>254945.7064817027</v>
      </c>
      <c r="E33" s="476">
        <f>D33*12</f>
        <v>3059348.4777804324</v>
      </c>
      <c r="F33" s="348"/>
    </row>
    <row r="34" spans="1:6" ht="16.5">
      <c r="A34" s="133"/>
      <c r="B34" s="471"/>
      <c r="C34" s="476"/>
      <c r="D34" s="471"/>
      <c r="E34" s="476"/>
      <c r="F34" s="348"/>
    </row>
    <row r="35" spans="1:6" ht="17.25">
      <c r="A35" s="130" t="s">
        <v>131</v>
      </c>
      <c r="B35" s="468"/>
      <c r="C35" s="476"/>
      <c r="D35" s="468"/>
      <c r="E35" s="476"/>
      <c r="F35" s="348"/>
    </row>
    <row r="36" spans="1:11" ht="16.5">
      <c r="A36" s="132" t="s">
        <v>132</v>
      </c>
      <c r="B36" s="471">
        <f>См_доход!F33</f>
        <v>28699.65</v>
      </c>
      <c r="C36" s="472">
        <f>B36*12</f>
        <v>344395.80000000005</v>
      </c>
      <c r="D36" s="471">
        <f>См_доход!H33</f>
        <v>29191</v>
      </c>
      <c r="E36" s="472">
        <f>D36*12</f>
        <v>350292</v>
      </c>
      <c r="F36" s="343"/>
      <c r="I36" s="47">
        <v>29191</v>
      </c>
      <c r="K36" s="257">
        <v>0.0171</v>
      </c>
    </row>
    <row r="37" spans="1:7" ht="16.5">
      <c r="A37" s="132" t="s">
        <v>133</v>
      </c>
      <c r="B37" s="471">
        <v>9600</v>
      </c>
      <c r="C37" s="472">
        <f>B37*12</f>
        <v>115200</v>
      </c>
      <c r="D37" s="471">
        <v>10200</v>
      </c>
      <c r="E37" s="472">
        <f>D37*12</f>
        <v>122400</v>
      </c>
      <c r="F37" s="343"/>
      <c r="G37" s="47" t="s">
        <v>345</v>
      </c>
    </row>
    <row r="38" spans="1:7" ht="16.5">
      <c r="A38" s="132"/>
      <c r="B38" s="471"/>
      <c r="C38" s="472"/>
      <c r="D38" s="471"/>
      <c r="E38" s="472"/>
      <c r="F38" s="343"/>
      <c r="G38" s="47" t="s">
        <v>346</v>
      </c>
    </row>
    <row r="39" spans="1:6" ht="16.5">
      <c r="A39" s="133" t="s">
        <v>75</v>
      </c>
      <c r="B39" s="471"/>
      <c r="C39" s="476">
        <f>SUM(C36:C37)</f>
        <v>459595.80000000005</v>
      </c>
      <c r="D39" s="471"/>
      <c r="E39" s="476">
        <f>SUM(E36:E37)</f>
        <v>472692</v>
      </c>
      <c r="F39" s="348"/>
    </row>
    <row r="40" spans="1:6" ht="17.25">
      <c r="A40" s="130"/>
      <c r="B40" s="468"/>
      <c r="C40" s="476"/>
      <c r="D40" s="468"/>
      <c r="E40" s="476"/>
      <c r="F40" s="348"/>
    </row>
    <row r="41" spans="1:6" ht="17.25">
      <c r="A41" s="130" t="s">
        <v>301</v>
      </c>
      <c r="B41" s="468"/>
      <c r="C41" s="476">
        <f>345576+382010-4656</f>
        <v>722930</v>
      </c>
      <c r="D41" s="468"/>
      <c r="E41" s="476">
        <f>345576+382010-4656</f>
        <v>722930</v>
      </c>
      <c r="F41" s="348"/>
    </row>
    <row r="42" spans="1:6" ht="17.25">
      <c r="A42" s="130"/>
      <c r="B42" s="468"/>
      <c r="C42" s="476"/>
      <c r="D42" s="468"/>
      <c r="E42" s="476"/>
      <c r="F42" s="348"/>
    </row>
    <row r="43" spans="1:6" ht="17.25">
      <c r="A43" s="130"/>
      <c r="B43" s="468"/>
      <c r="C43" s="476"/>
      <c r="D43" s="468"/>
      <c r="E43" s="476"/>
      <c r="F43" s="348"/>
    </row>
    <row r="44" spans="1:8" ht="16.5">
      <c r="A44" s="135" t="s">
        <v>154</v>
      </c>
      <c r="B44" s="470"/>
      <c r="C44" s="476">
        <f>C30+C33+C39+C41</f>
        <v>22983424.594879214</v>
      </c>
      <c r="D44" s="470"/>
      <c r="E44" s="476">
        <f>E30+E33+E39+E41</f>
        <v>21954606.04657287</v>
      </c>
      <c r="F44" s="348"/>
      <c r="H44" s="65">
        <f>C44-См_доход!G47</f>
        <v>2523777.1446888186</v>
      </c>
    </row>
    <row r="45" spans="1:7" ht="17.25" thickBot="1">
      <c r="A45" s="137"/>
      <c r="B45" s="478"/>
      <c r="C45" s="479"/>
      <c r="D45" s="478"/>
      <c r="E45" s="479"/>
      <c r="F45" s="349"/>
      <c r="G45" s="65">
        <f>'Бюдж поступл'!J31</f>
        <v>20742297.009061616</v>
      </c>
    </row>
  </sheetData>
  <sheetProtection/>
  <mergeCells count="10">
    <mergeCell ref="D2:E2"/>
    <mergeCell ref="D4:E4"/>
    <mergeCell ref="D28:D29"/>
    <mergeCell ref="E28:E29"/>
    <mergeCell ref="A1:C1"/>
    <mergeCell ref="A3:C3"/>
    <mergeCell ref="B4:C4"/>
    <mergeCell ref="B28:B29"/>
    <mergeCell ref="C28:C29"/>
    <mergeCell ref="B2:C2"/>
  </mergeCells>
  <printOptions/>
  <pageMargins left="0.03937007874015748" right="0" top="0.15748031496062992" bottom="0.15748031496062992" header="0.11811023622047245" footer="0.11811023622047245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35.8984375" style="48" customWidth="1"/>
    <col min="2" max="2" width="32.59765625" style="53" customWidth="1"/>
    <col min="3" max="3" width="20.3984375" style="54" customWidth="1"/>
    <col min="4" max="4" width="9" style="48" customWidth="1"/>
    <col min="5" max="5" width="15.19921875" style="48" customWidth="1"/>
    <col min="6" max="6" width="39.3984375" style="48" customWidth="1"/>
    <col min="7" max="7" width="9" style="48" customWidth="1"/>
    <col min="8" max="16384" width="9" style="48" customWidth="1"/>
  </cols>
  <sheetData>
    <row r="1" spans="1:5" s="49" customFormat="1" ht="16.5">
      <c r="A1" s="80" t="s">
        <v>292</v>
      </c>
      <c r="B1" s="81"/>
      <c r="C1" s="82" t="s">
        <v>293</v>
      </c>
      <c r="D1" s="48"/>
      <c r="E1" s="48"/>
    </row>
    <row r="2" spans="1:5" s="49" customFormat="1" ht="16.5">
      <c r="A2" s="142" t="s">
        <v>155</v>
      </c>
      <c r="B2" s="70" t="s">
        <v>156</v>
      </c>
      <c r="C2" s="71" t="s">
        <v>157</v>
      </c>
      <c r="D2" s="48"/>
      <c r="E2" s="48"/>
    </row>
    <row r="3" spans="1:5" s="49" customFormat="1" ht="16.5">
      <c r="A3" s="142" t="s">
        <v>158</v>
      </c>
      <c r="B3" s="70" t="s">
        <v>159</v>
      </c>
      <c r="C3" s="72">
        <v>30835021.26</v>
      </c>
      <c r="D3" s="48"/>
      <c r="E3" s="48"/>
    </row>
    <row r="4" spans="1:5" s="49" customFormat="1" ht="16.5">
      <c r="A4" s="142" t="s">
        <v>160</v>
      </c>
      <c r="B4" s="70" t="s">
        <v>161</v>
      </c>
      <c r="C4" s="72">
        <v>10071446.57</v>
      </c>
      <c r="D4" s="48"/>
      <c r="E4" s="48"/>
    </row>
    <row r="5" spans="1:5" s="49" customFormat="1" ht="16.5">
      <c r="A5" s="142" t="s">
        <v>162</v>
      </c>
      <c r="B5" s="70" t="s">
        <v>163</v>
      </c>
      <c r="C5" s="72">
        <v>439705</v>
      </c>
      <c r="D5" s="48"/>
      <c r="E5" s="48"/>
    </row>
    <row r="6" spans="1:5" s="49" customFormat="1" ht="16.5">
      <c r="A6" s="142" t="s">
        <v>164</v>
      </c>
      <c r="B6" s="70" t="s">
        <v>165</v>
      </c>
      <c r="C6" s="72">
        <v>324838</v>
      </c>
      <c r="D6" s="48"/>
      <c r="E6" s="48"/>
    </row>
    <row r="7" spans="1:5" s="49" customFormat="1" ht="16.5">
      <c r="A7" s="142" t="s">
        <v>166</v>
      </c>
      <c r="B7" s="70" t="s">
        <v>167</v>
      </c>
      <c r="C7" s="72">
        <v>2302843.2</v>
      </c>
      <c r="D7" s="48"/>
      <c r="E7" s="48"/>
    </row>
    <row r="8" spans="1:5" s="49" customFormat="1" ht="16.5">
      <c r="A8" s="142" t="s">
        <v>168</v>
      </c>
      <c r="B8" s="70" t="s">
        <v>169</v>
      </c>
      <c r="C8" s="72">
        <v>15000</v>
      </c>
      <c r="D8" s="48"/>
      <c r="E8" s="48"/>
    </row>
    <row r="9" spans="1:5" s="49" customFormat="1" ht="16.5">
      <c r="A9" s="142" t="s">
        <v>170</v>
      </c>
      <c r="B9" s="70" t="s">
        <v>171</v>
      </c>
      <c r="C9" s="72">
        <v>153684</v>
      </c>
      <c r="D9" s="48"/>
      <c r="E9" s="48"/>
    </row>
    <row r="10" spans="1:5" s="49" customFormat="1" ht="16.5">
      <c r="A10" s="142" t="s">
        <v>172</v>
      </c>
      <c r="B10" s="70" t="s">
        <v>173</v>
      </c>
      <c r="C10" s="72">
        <v>34901</v>
      </c>
      <c r="D10" s="48"/>
      <c r="E10" s="48"/>
    </row>
    <row r="11" spans="1:5" s="49" customFormat="1" ht="16.5">
      <c r="A11" s="142" t="s">
        <v>174</v>
      </c>
      <c r="B11" s="70" t="s">
        <v>175</v>
      </c>
      <c r="C11" s="72">
        <v>1431642</v>
      </c>
      <c r="D11" s="48"/>
      <c r="E11" s="48"/>
    </row>
    <row r="12" spans="1:5" s="49" customFormat="1" ht="16.5">
      <c r="A12" s="894" t="s">
        <v>176</v>
      </c>
      <c r="B12" s="70" t="s">
        <v>177</v>
      </c>
      <c r="C12" s="72">
        <v>200000</v>
      </c>
      <c r="D12" s="48"/>
      <c r="E12" s="50">
        <f>C12+C13</f>
        <v>400000</v>
      </c>
    </row>
    <row r="13" spans="1:5" s="49" customFormat="1" ht="16.5">
      <c r="A13" s="894"/>
      <c r="B13" s="70" t="s">
        <v>178</v>
      </c>
      <c r="C13" s="72">
        <v>200000</v>
      </c>
      <c r="D13" s="48"/>
      <c r="E13" s="48"/>
    </row>
    <row r="14" spans="1:5" s="49" customFormat="1" ht="33">
      <c r="A14" s="891" t="s">
        <v>179</v>
      </c>
      <c r="B14" s="73" t="s">
        <v>180</v>
      </c>
      <c r="C14" s="72">
        <v>668988.83</v>
      </c>
      <c r="D14" s="48"/>
      <c r="E14" s="51">
        <f>C14+C15+C16+C17+C18+C19+C20</f>
        <v>2950555.49</v>
      </c>
    </row>
    <row r="15" spans="1:3" s="49" customFormat="1" ht="33">
      <c r="A15" s="892"/>
      <c r="B15" s="73" t="s">
        <v>181</v>
      </c>
      <c r="C15" s="72">
        <v>114492.66</v>
      </c>
    </row>
    <row r="16" spans="1:3" s="49" customFormat="1" ht="33">
      <c r="A16" s="892"/>
      <c r="B16" s="73" t="s">
        <v>182</v>
      </c>
      <c r="C16" s="72">
        <v>200000</v>
      </c>
    </row>
    <row r="17" spans="1:3" s="49" customFormat="1" ht="33">
      <c r="A17" s="892"/>
      <c r="B17" s="73" t="s">
        <v>183</v>
      </c>
      <c r="C17" s="72">
        <v>669170.93</v>
      </c>
    </row>
    <row r="18" spans="1:3" s="49" customFormat="1" ht="33">
      <c r="A18" s="892"/>
      <c r="B18" s="73" t="s">
        <v>184</v>
      </c>
      <c r="C18" s="72">
        <v>572100.59</v>
      </c>
    </row>
    <row r="19" spans="1:3" s="49" customFormat="1" ht="33">
      <c r="A19" s="892"/>
      <c r="B19" s="73" t="s">
        <v>185</v>
      </c>
      <c r="C19" s="72">
        <v>649382.03</v>
      </c>
    </row>
    <row r="20" spans="1:3" s="49" customFormat="1" ht="33">
      <c r="A20" s="892"/>
      <c r="B20" s="73" t="s">
        <v>186</v>
      </c>
      <c r="C20" s="72">
        <v>76420.45</v>
      </c>
    </row>
    <row r="21" spans="1:3" s="49" customFormat="1" ht="33">
      <c r="A21" s="893"/>
      <c r="B21" s="73" t="s">
        <v>329</v>
      </c>
      <c r="C21" s="72">
        <v>200000</v>
      </c>
    </row>
    <row r="22" spans="1:5" s="49" customFormat="1" ht="16.5">
      <c r="A22" s="894" t="s">
        <v>187</v>
      </c>
      <c r="B22" s="70" t="s">
        <v>188</v>
      </c>
      <c r="C22" s="72">
        <v>38400</v>
      </c>
      <c r="E22" s="52">
        <f>C22+C23+C24+C25+C26</f>
        <v>520105.2</v>
      </c>
    </row>
    <row r="23" spans="1:3" s="49" customFormat="1" ht="16.5">
      <c r="A23" s="894"/>
      <c r="B23" s="70" t="s">
        <v>189</v>
      </c>
      <c r="C23" s="72">
        <v>55820</v>
      </c>
    </row>
    <row r="24" spans="1:3" s="49" customFormat="1" ht="16.5">
      <c r="A24" s="894"/>
      <c r="B24" s="73" t="s">
        <v>190</v>
      </c>
      <c r="C24" s="72">
        <v>58667.86</v>
      </c>
    </row>
    <row r="25" spans="1:3" s="49" customFormat="1" ht="16.5">
      <c r="A25" s="894"/>
      <c r="B25" s="73" t="s">
        <v>191</v>
      </c>
      <c r="C25" s="72">
        <v>135186.78</v>
      </c>
    </row>
    <row r="26" spans="1:3" s="49" customFormat="1" ht="33">
      <c r="A26" s="894"/>
      <c r="B26" s="73" t="s">
        <v>192</v>
      </c>
      <c r="C26" s="72">
        <v>232030.56</v>
      </c>
    </row>
    <row r="27" spans="1:3" s="49" customFormat="1" ht="16.5">
      <c r="A27" s="74" t="s">
        <v>193</v>
      </c>
      <c r="B27" s="70" t="s">
        <v>194</v>
      </c>
      <c r="C27" s="72">
        <v>8010</v>
      </c>
    </row>
    <row r="28" spans="1:3" s="49" customFormat="1" ht="16.5">
      <c r="A28" s="74" t="s">
        <v>195</v>
      </c>
      <c r="B28" s="70" t="s">
        <v>196</v>
      </c>
      <c r="C28" s="72">
        <v>52873.59</v>
      </c>
    </row>
    <row r="29" spans="1:3" s="49" customFormat="1" ht="16.5">
      <c r="A29" s="142" t="s">
        <v>197</v>
      </c>
      <c r="B29" s="70" t="s">
        <v>198</v>
      </c>
      <c r="C29" s="72">
        <v>10907</v>
      </c>
    </row>
    <row r="30" spans="1:3" s="49" customFormat="1" ht="16.5">
      <c r="A30" s="142" t="s">
        <v>199</v>
      </c>
      <c r="B30" s="70" t="s">
        <v>200</v>
      </c>
      <c r="C30" s="72">
        <v>8698</v>
      </c>
    </row>
    <row r="31" spans="1:5" s="49" customFormat="1" ht="16.5">
      <c r="A31" s="895" t="s">
        <v>201</v>
      </c>
      <c r="B31" s="70" t="s">
        <v>202</v>
      </c>
      <c r="C31" s="72">
        <v>110400</v>
      </c>
      <c r="E31" s="52">
        <f>C31+C32</f>
        <v>865860</v>
      </c>
    </row>
    <row r="32" spans="1:3" s="49" customFormat="1" ht="16.5">
      <c r="A32" s="895"/>
      <c r="B32" s="70" t="s">
        <v>203</v>
      </c>
      <c r="C32" s="72">
        <v>755460</v>
      </c>
    </row>
    <row r="33" spans="1:3" s="49" customFormat="1" ht="15.75" customHeight="1">
      <c r="A33" s="142" t="s">
        <v>204</v>
      </c>
      <c r="B33" s="884" t="s">
        <v>205</v>
      </c>
      <c r="C33" s="72">
        <v>56040</v>
      </c>
    </row>
    <row r="34" spans="1:3" s="49" customFormat="1" ht="16.5">
      <c r="A34" s="142" t="s">
        <v>206</v>
      </c>
      <c r="B34" s="885"/>
      <c r="C34" s="72">
        <v>4700</v>
      </c>
    </row>
    <row r="35" spans="1:6" s="49" customFormat="1" ht="16.5">
      <c r="A35" s="142" t="s">
        <v>207</v>
      </c>
      <c r="B35" s="885"/>
      <c r="C35" s="72">
        <v>3498</v>
      </c>
      <c r="D35" s="48"/>
      <c r="F35" s="48"/>
    </row>
    <row r="36" spans="1:6" s="49" customFormat="1" ht="16.5">
      <c r="A36" s="142" t="s">
        <v>208</v>
      </c>
      <c r="B36" s="885"/>
      <c r="C36" s="72">
        <v>23580</v>
      </c>
      <c r="D36" s="48"/>
      <c r="E36" s="48"/>
      <c r="F36" s="48"/>
    </row>
    <row r="37" spans="1:6" s="49" customFormat="1" ht="16.5">
      <c r="A37" s="142" t="s">
        <v>209</v>
      </c>
      <c r="B37" s="885"/>
      <c r="C37" s="72">
        <v>6000</v>
      </c>
      <c r="D37" s="48"/>
      <c r="E37" s="48"/>
      <c r="F37" s="48"/>
    </row>
    <row r="38" spans="1:6" s="49" customFormat="1" ht="16.5">
      <c r="A38" s="142" t="s">
        <v>210</v>
      </c>
      <c r="B38" s="885"/>
      <c r="C38" s="72">
        <v>500</v>
      </c>
      <c r="D38" s="48"/>
      <c r="E38" s="48"/>
      <c r="F38" s="48"/>
    </row>
    <row r="39" spans="1:6" s="49" customFormat="1" ht="16.5">
      <c r="A39" s="142" t="s">
        <v>211</v>
      </c>
      <c r="B39" s="886"/>
      <c r="C39" s="72">
        <v>6950</v>
      </c>
      <c r="D39" s="48"/>
      <c r="E39" s="48"/>
      <c r="F39" s="48"/>
    </row>
    <row r="40" spans="1:6" s="49" customFormat="1" ht="16.5">
      <c r="A40" s="142" t="s">
        <v>212</v>
      </c>
      <c r="B40" s="143" t="s">
        <v>213</v>
      </c>
      <c r="C40" s="72">
        <v>442728</v>
      </c>
      <c r="D40" s="48"/>
      <c r="E40" s="48"/>
      <c r="F40" s="48"/>
    </row>
    <row r="41" spans="1:6" s="49" customFormat="1" ht="16.5">
      <c r="A41" s="142" t="s">
        <v>214</v>
      </c>
      <c r="B41" s="883" t="s">
        <v>215</v>
      </c>
      <c r="C41" s="72">
        <v>12500</v>
      </c>
      <c r="D41" s="48"/>
      <c r="E41" s="48"/>
      <c r="F41" s="48"/>
    </row>
    <row r="42" spans="1:6" s="49" customFormat="1" ht="16.5">
      <c r="A42" s="142" t="s">
        <v>216</v>
      </c>
      <c r="B42" s="883"/>
      <c r="C42" s="72">
        <v>68007.6</v>
      </c>
      <c r="D42" s="48"/>
      <c r="E42" s="48"/>
      <c r="F42" s="48"/>
    </row>
    <row r="43" spans="1:6" s="49" customFormat="1" ht="16.5">
      <c r="A43" s="142" t="s">
        <v>217</v>
      </c>
      <c r="B43" s="883" t="s">
        <v>218</v>
      </c>
      <c r="C43" s="72">
        <v>198625</v>
      </c>
      <c r="D43" s="48"/>
      <c r="E43" s="48"/>
      <c r="F43" s="48"/>
    </row>
    <row r="44" spans="1:6" s="49" customFormat="1" ht="16.5">
      <c r="A44" s="142" t="s">
        <v>219</v>
      </c>
      <c r="B44" s="883"/>
      <c r="C44" s="72">
        <v>14850</v>
      </c>
      <c r="D44" s="48"/>
      <c r="E44" s="48"/>
      <c r="F44" s="48"/>
    </row>
    <row r="45" spans="1:6" s="49" customFormat="1" ht="15.75" customHeight="1">
      <c r="A45" s="142" t="s">
        <v>220</v>
      </c>
      <c r="B45" s="70" t="s">
        <v>221</v>
      </c>
      <c r="C45" s="72">
        <v>55470.16</v>
      </c>
      <c r="D45" s="48"/>
      <c r="E45" s="48"/>
      <c r="F45" s="48" t="s">
        <v>222</v>
      </c>
    </row>
    <row r="46" spans="1:6" s="49" customFormat="1" ht="16.5">
      <c r="A46" s="142" t="s">
        <v>223</v>
      </c>
      <c r="B46" s="70" t="s">
        <v>224</v>
      </c>
      <c r="C46" s="72">
        <v>38634.19</v>
      </c>
      <c r="D46" s="48"/>
      <c r="E46" s="48"/>
      <c r="F46" s="48"/>
    </row>
    <row r="47" spans="1:6" s="49" customFormat="1" ht="16.5">
      <c r="A47" s="142" t="s">
        <v>225</v>
      </c>
      <c r="B47" s="70" t="s">
        <v>226</v>
      </c>
      <c r="C47" s="72">
        <v>2392</v>
      </c>
      <c r="D47" s="48"/>
      <c r="E47" s="48"/>
      <c r="F47" s="48"/>
    </row>
    <row r="48" spans="1:3" s="49" customFormat="1" ht="16.5">
      <c r="A48" s="74" t="s">
        <v>227</v>
      </c>
      <c r="B48" s="70" t="s">
        <v>189</v>
      </c>
      <c r="C48" s="72">
        <v>17940</v>
      </c>
    </row>
    <row r="49" spans="1:3" s="49" customFormat="1" ht="16.5">
      <c r="A49" s="142" t="s">
        <v>228</v>
      </c>
      <c r="B49" s="70" t="s">
        <v>229</v>
      </c>
      <c r="C49" s="72">
        <v>20763</v>
      </c>
    </row>
    <row r="50" spans="1:3" s="49" customFormat="1" ht="16.5">
      <c r="A50" s="142" t="s">
        <v>230</v>
      </c>
      <c r="B50" s="70" t="s">
        <v>231</v>
      </c>
      <c r="C50" s="72">
        <v>8695.6</v>
      </c>
    </row>
    <row r="51" spans="1:3" s="49" customFormat="1" ht="16.5">
      <c r="A51" s="191" t="s">
        <v>232</v>
      </c>
      <c r="B51" s="70" t="s">
        <v>233</v>
      </c>
      <c r="C51" s="72">
        <v>7500</v>
      </c>
    </row>
    <row r="52" spans="1:3" ht="16.5">
      <c r="A52" s="142" t="s">
        <v>234</v>
      </c>
      <c r="B52" s="70" t="s">
        <v>235</v>
      </c>
      <c r="C52" s="72">
        <v>4300</v>
      </c>
    </row>
    <row r="53" spans="1:3" s="49" customFormat="1" ht="16.5">
      <c r="A53" s="142" t="s">
        <v>236</v>
      </c>
      <c r="B53" s="883" t="s">
        <v>237</v>
      </c>
      <c r="C53" s="72">
        <v>11859.19</v>
      </c>
    </row>
    <row r="54" spans="1:3" s="49" customFormat="1" ht="16.5">
      <c r="A54" s="142" t="s">
        <v>238</v>
      </c>
      <c r="B54" s="883"/>
      <c r="C54" s="72">
        <v>10469.81</v>
      </c>
    </row>
    <row r="55" spans="1:3" s="49" customFormat="1" ht="16.5">
      <c r="A55" s="142" t="s">
        <v>239</v>
      </c>
      <c r="B55" s="883"/>
      <c r="C55" s="72">
        <v>8598</v>
      </c>
    </row>
    <row r="56" spans="1:3" s="49" customFormat="1" ht="16.5">
      <c r="A56" s="142" t="s">
        <v>240</v>
      </c>
      <c r="B56" s="884" t="s">
        <v>241</v>
      </c>
      <c r="C56" s="72">
        <v>7650</v>
      </c>
    </row>
    <row r="57" spans="1:3" s="49" customFormat="1" ht="15.75" customHeight="1">
      <c r="A57" s="142" t="s">
        <v>242</v>
      </c>
      <c r="B57" s="885"/>
      <c r="C57" s="72">
        <v>7300</v>
      </c>
    </row>
    <row r="58" spans="1:3" s="49" customFormat="1" ht="16.5">
      <c r="A58" s="142" t="s">
        <v>243</v>
      </c>
      <c r="B58" s="885"/>
      <c r="C58" s="72">
        <v>1700</v>
      </c>
    </row>
    <row r="59" spans="1:3" s="49" customFormat="1" ht="16.5">
      <c r="A59" s="142" t="s">
        <v>244</v>
      </c>
      <c r="B59" s="885"/>
      <c r="C59" s="72">
        <v>3060</v>
      </c>
    </row>
    <row r="60" spans="1:3" s="49" customFormat="1" ht="16.5">
      <c r="A60" s="142" t="s">
        <v>245</v>
      </c>
      <c r="B60" s="886"/>
      <c r="C60" s="72">
        <v>7100</v>
      </c>
    </row>
    <row r="61" spans="1:3" s="49" customFormat="1" ht="16.5">
      <c r="A61" s="142" t="s">
        <v>246</v>
      </c>
      <c r="B61" s="70" t="s">
        <v>247</v>
      </c>
      <c r="C61" s="72">
        <v>10217</v>
      </c>
    </row>
    <row r="62" spans="1:3" s="49" customFormat="1" ht="16.5">
      <c r="A62" s="142" t="s">
        <v>248</v>
      </c>
      <c r="B62" s="70" t="s">
        <v>249</v>
      </c>
      <c r="C62" s="72">
        <v>25000</v>
      </c>
    </row>
    <row r="63" spans="1:3" s="49" customFormat="1" ht="16.5">
      <c r="A63" s="142" t="s">
        <v>250</v>
      </c>
      <c r="B63" s="70" t="s">
        <v>251</v>
      </c>
      <c r="C63" s="72">
        <v>30202.5</v>
      </c>
    </row>
    <row r="64" spans="1:3" s="49" customFormat="1" ht="16.5">
      <c r="A64" s="142" t="s">
        <v>252</v>
      </c>
      <c r="B64" s="70" t="s">
        <v>253</v>
      </c>
      <c r="C64" s="72">
        <v>34120</v>
      </c>
    </row>
    <row r="65" spans="1:3" s="49" customFormat="1" ht="16.5">
      <c r="A65" s="142" t="s">
        <v>254</v>
      </c>
      <c r="B65" s="70" t="s">
        <v>255</v>
      </c>
      <c r="C65" s="72">
        <v>762246</v>
      </c>
    </row>
    <row r="66" spans="1:3" s="49" customFormat="1" ht="16.5">
      <c r="A66" s="142" t="s">
        <v>256</v>
      </c>
      <c r="B66" s="70" t="s">
        <v>257</v>
      </c>
      <c r="C66" s="72">
        <v>17625</v>
      </c>
    </row>
    <row r="67" spans="1:3" s="49" customFormat="1" ht="16.5" customHeight="1">
      <c r="A67" s="142" t="s">
        <v>258</v>
      </c>
      <c r="B67" s="887" t="s">
        <v>259</v>
      </c>
      <c r="C67" s="72">
        <v>13495.2</v>
      </c>
    </row>
    <row r="68" spans="1:3" s="49" customFormat="1" ht="16.5">
      <c r="A68" s="142" t="s">
        <v>260</v>
      </c>
      <c r="B68" s="888"/>
      <c r="C68" s="72">
        <v>199</v>
      </c>
    </row>
    <row r="69" spans="1:3" s="49" customFormat="1" ht="16.5">
      <c r="A69" s="74" t="s">
        <v>261</v>
      </c>
      <c r="B69" s="889"/>
      <c r="C69" s="72">
        <v>3250</v>
      </c>
    </row>
    <row r="70" spans="1:3" s="49" customFormat="1" ht="16.5">
      <c r="A70" s="142" t="s">
        <v>262</v>
      </c>
      <c r="B70" s="70" t="s">
        <v>263</v>
      </c>
      <c r="C70" s="72">
        <v>13500</v>
      </c>
    </row>
    <row r="71" spans="1:3" s="49" customFormat="1" ht="16.5">
      <c r="A71" s="142" t="s">
        <v>264</v>
      </c>
      <c r="B71" s="70" t="s">
        <v>265</v>
      </c>
      <c r="C71" s="72">
        <v>19200</v>
      </c>
    </row>
    <row r="72" spans="1:3" s="49" customFormat="1" ht="16.5">
      <c r="A72" s="74" t="s">
        <v>266</v>
      </c>
      <c r="B72" s="143" t="s">
        <v>267</v>
      </c>
      <c r="C72" s="72">
        <v>24500</v>
      </c>
    </row>
    <row r="73" spans="1:3" s="49" customFormat="1" ht="16.5">
      <c r="A73" s="74" t="s">
        <v>268</v>
      </c>
      <c r="B73" s="143" t="s">
        <v>269</v>
      </c>
      <c r="C73" s="72">
        <v>11500</v>
      </c>
    </row>
    <row r="74" spans="1:3" s="49" customFormat="1" ht="16.5">
      <c r="A74" s="74" t="s">
        <v>270</v>
      </c>
      <c r="B74" s="70" t="s">
        <v>271</v>
      </c>
      <c r="C74" s="72">
        <v>220</v>
      </c>
    </row>
    <row r="75" spans="1:3" s="49" customFormat="1" ht="17.25">
      <c r="A75" s="74"/>
      <c r="B75" s="70"/>
      <c r="C75" s="75">
        <f>SUM(C3:C74)</f>
        <v>52642775.56000001</v>
      </c>
    </row>
    <row r="76" spans="1:3" s="49" customFormat="1" ht="16.5">
      <c r="A76" s="74"/>
      <c r="B76" s="70"/>
      <c r="C76" s="72"/>
    </row>
    <row r="77" spans="1:3" s="49" customFormat="1" ht="17.25">
      <c r="A77" s="76" t="s">
        <v>272</v>
      </c>
      <c r="B77" s="77"/>
      <c r="C77" s="75">
        <f>SUM(C79:C86)</f>
        <v>9428325.44</v>
      </c>
    </row>
    <row r="78" spans="1:3" s="49" customFormat="1" ht="16.5">
      <c r="A78" s="76" t="s">
        <v>273</v>
      </c>
      <c r="B78" s="77"/>
      <c r="C78" s="78"/>
    </row>
    <row r="79" spans="1:3" s="49" customFormat="1" ht="16.5">
      <c r="A79" s="142" t="s">
        <v>274</v>
      </c>
      <c r="B79" s="70"/>
      <c r="C79" s="71">
        <v>8140312</v>
      </c>
    </row>
    <row r="80" spans="1:3" s="49" customFormat="1" ht="16.5">
      <c r="A80" s="142" t="s">
        <v>275</v>
      </c>
      <c r="B80" s="70"/>
      <c r="C80" s="72">
        <v>258370</v>
      </c>
    </row>
    <row r="81" spans="1:3" s="49" customFormat="1" ht="16.5">
      <c r="A81" s="142" t="s">
        <v>276</v>
      </c>
      <c r="B81" s="70"/>
      <c r="C81" s="72">
        <v>113662</v>
      </c>
    </row>
    <row r="82" spans="1:3" s="49" customFormat="1" ht="16.5">
      <c r="A82" s="142" t="s">
        <v>330</v>
      </c>
      <c r="B82" s="70"/>
      <c r="C82" s="72">
        <v>79105</v>
      </c>
    </row>
    <row r="83" spans="1:3" s="49" customFormat="1" ht="16.5">
      <c r="A83" s="142" t="s">
        <v>331</v>
      </c>
      <c r="B83" s="70"/>
      <c r="C83" s="72">
        <v>34474</v>
      </c>
    </row>
    <row r="84" spans="1:3" s="49" customFormat="1" ht="16.5">
      <c r="A84" s="142" t="s">
        <v>291</v>
      </c>
      <c r="B84" s="70"/>
      <c r="C84" s="72">
        <v>70919</v>
      </c>
    </row>
    <row r="85" spans="1:5" s="49" customFormat="1" ht="16.5">
      <c r="A85" s="142" t="s">
        <v>296</v>
      </c>
      <c r="B85" s="70"/>
      <c r="C85" s="72">
        <v>150467</v>
      </c>
      <c r="E85" s="189"/>
    </row>
    <row r="86" spans="1:5" s="49" customFormat="1" ht="16.5">
      <c r="A86" s="142" t="s">
        <v>332</v>
      </c>
      <c r="B86" s="70"/>
      <c r="C86" s="72">
        <v>581016.44</v>
      </c>
      <c r="E86" s="189"/>
    </row>
    <row r="87" spans="1:3" s="49" customFormat="1" ht="33" customHeight="1">
      <c r="A87" s="890" t="s">
        <v>277</v>
      </c>
      <c r="B87" s="890"/>
      <c r="C87" s="890"/>
    </row>
    <row r="88" spans="1:5" s="49" customFormat="1" ht="16.5">
      <c r="A88" s="74"/>
      <c r="B88" s="70"/>
      <c r="C88" s="190">
        <f>C75+C77</f>
        <v>62071101.00000001</v>
      </c>
      <c r="E88" s="79">
        <v>62071101.00000001</v>
      </c>
    </row>
  </sheetData>
  <sheetProtection/>
  <mergeCells count="11">
    <mergeCell ref="B43:B44"/>
    <mergeCell ref="B53:B55"/>
    <mergeCell ref="B56:B60"/>
    <mergeCell ref="B67:B69"/>
    <mergeCell ref="A87:C87"/>
    <mergeCell ref="A14:A21"/>
    <mergeCell ref="A12:A13"/>
    <mergeCell ref="A22:A26"/>
    <mergeCell ref="A31:A32"/>
    <mergeCell ref="B33:B39"/>
    <mergeCell ref="B41:B42"/>
  </mergeCells>
  <printOptions/>
  <pageMargins left="0.5118110236220472" right="0.11811023622047245" top="0.35433070866141736" bottom="0.35433070866141736" header="0.31496062992125984" footer="0.31496062992125984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="80" zoomScaleNormal="80" zoomScalePageLayoutView="0" workbookViewId="0" topLeftCell="A7">
      <selection activeCell="K27" sqref="K27"/>
    </sheetView>
  </sheetViews>
  <sheetFormatPr defaultColWidth="8.796875" defaultRowHeight="14.25"/>
  <cols>
    <col min="1" max="1" width="24" style="125" customWidth="1"/>
    <col min="2" max="2" width="23.09765625" style="125" customWidth="1"/>
    <col min="3" max="3" width="11.5" style="125" customWidth="1"/>
    <col min="4" max="4" width="11.69921875" style="125" customWidth="1"/>
    <col min="5" max="5" width="12.3984375" style="125" customWidth="1"/>
    <col min="6" max="6" width="14.19921875" style="125" customWidth="1"/>
    <col min="7" max="7" width="13.8984375" style="125" customWidth="1"/>
    <col min="8" max="8" width="14" style="125" customWidth="1"/>
    <col min="9" max="16384" width="9" style="125" customWidth="1"/>
  </cols>
  <sheetData>
    <row r="1" spans="8:9" ht="14.25">
      <c r="H1" s="193" t="s">
        <v>302</v>
      </c>
      <c r="I1" s="57"/>
    </row>
    <row r="2" ht="14.25">
      <c r="I2" s="57"/>
    </row>
    <row r="3" ht="14.25">
      <c r="I3" s="57"/>
    </row>
    <row r="4" ht="14.25">
      <c r="I4" s="57"/>
    </row>
    <row r="5" ht="14.25">
      <c r="I5" s="57"/>
    </row>
    <row r="6" spans="1:9" ht="18">
      <c r="A6" s="896" t="s">
        <v>303</v>
      </c>
      <c r="B6" s="896"/>
      <c r="C6" s="896"/>
      <c r="D6" s="896"/>
      <c r="E6" s="896"/>
      <c r="F6" s="896"/>
      <c r="G6" s="896"/>
      <c r="H6" s="896"/>
      <c r="I6" s="57"/>
    </row>
    <row r="7" spans="1:9" ht="18">
      <c r="A7" s="896" t="s">
        <v>304</v>
      </c>
      <c r="B7" s="896"/>
      <c r="C7" s="896"/>
      <c r="D7" s="896"/>
      <c r="E7" s="896"/>
      <c r="F7" s="896"/>
      <c r="G7" s="896"/>
      <c r="H7" s="896"/>
      <c r="I7" s="57"/>
    </row>
    <row r="8" spans="1:9" ht="18">
      <c r="A8" s="896" t="s">
        <v>305</v>
      </c>
      <c r="B8" s="896"/>
      <c r="C8" s="896"/>
      <c r="D8" s="896"/>
      <c r="E8" s="896"/>
      <c r="F8" s="896"/>
      <c r="G8" s="896"/>
      <c r="H8" s="896"/>
      <c r="I8" s="57"/>
    </row>
    <row r="9" spans="1:9" ht="15" thickBot="1">
      <c r="A9" s="144"/>
      <c r="B9" s="144"/>
      <c r="C9" s="144"/>
      <c r="D9" s="144"/>
      <c r="E9" s="144"/>
      <c r="F9" s="144"/>
      <c r="G9" s="144"/>
      <c r="H9" s="144"/>
      <c r="I9" s="57"/>
    </row>
    <row r="10" spans="1:8" ht="14.25">
      <c r="A10" s="145"/>
      <c r="B10" s="146"/>
      <c r="C10" s="897" t="s">
        <v>306</v>
      </c>
      <c r="D10" s="897"/>
      <c r="E10" s="897"/>
      <c r="F10" s="897"/>
      <c r="G10" s="897"/>
      <c r="H10" s="897"/>
    </row>
    <row r="11" spans="1:8" ht="15" thickBot="1">
      <c r="A11" s="898" t="s">
        <v>307</v>
      </c>
      <c r="B11" s="898"/>
      <c r="C11" s="899" t="s">
        <v>308</v>
      </c>
      <c r="D11" s="899"/>
      <c r="E11" s="899"/>
      <c r="F11" s="899"/>
      <c r="G11" s="899"/>
      <c r="H11" s="899"/>
    </row>
    <row r="12" spans="1:8" ht="14.25">
      <c r="A12" s="898" t="s">
        <v>309</v>
      </c>
      <c r="B12" s="898"/>
      <c r="C12" s="147" t="s">
        <v>15</v>
      </c>
      <c r="D12" s="148" t="s">
        <v>140</v>
      </c>
      <c r="E12" s="149" t="s">
        <v>141</v>
      </c>
      <c r="F12" s="150" t="s">
        <v>310</v>
      </c>
      <c r="G12" s="150" t="s">
        <v>310</v>
      </c>
      <c r="H12" s="151" t="s">
        <v>287</v>
      </c>
    </row>
    <row r="13" spans="1:8" ht="15" thickBot="1">
      <c r="A13" s="152"/>
      <c r="B13" s="153"/>
      <c r="C13" s="154"/>
      <c r="D13" s="155"/>
      <c r="E13" s="156"/>
      <c r="F13" s="157">
        <v>204</v>
      </c>
      <c r="G13" s="157">
        <v>202</v>
      </c>
      <c r="H13" s="158" t="s">
        <v>311</v>
      </c>
    </row>
    <row r="14" spans="1:8" ht="15" customHeight="1">
      <c r="A14" s="159" t="s">
        <v>312</v>
      </c>
      <c r="B14" s="160"/>
      <c r="C14" s="161"/>
      <c r="D14" s="162"/>
      <c r="E14" s="163"/>
      <c r="F14" s="163"/>
      <c r="G14" s="163"/>
      <c r="H14" s="164"/>
    </row>
    <row r="15" spans="1:8" ht="15" customHeight="1">
      <c r="A15" s="165" t="s">
        <v>313</v>
      </c>
      <c r="B15" s="166"/>
      <c r="C15" s="167"/>
      <c r="D15" s="168"/>
      <c r="E15" s="149"/>
      <c r="F15" s="149"/>
      <c r="G15" s="149"/>
      <c r="H15" s="169"/>
    </row>
    <row r="16" spans="1:8" ht="15" customHeight="1">
      <c r="A16" s="900" t="s">
        <v>314</v>
      </c>
      <c r="B16" s="900"/>
      <c r="C16" s="170">
        <v>5.99</v>
      </c>
      <c r="D16" s="170">
        <v>5.99</v>
      </c>
      <c r="E16" s="170">
        <v>5.99</v>
      </c>
      <c r="F16" s="170">
        <v>5.99</v>
      </c>
      <c r="G16" s="170">
        <v>5.99</v>
      </c>
      <c r="H16" s="171">
        <v>8.8</v>
      </c>
    </row>
    <row r="17" spans="1:8" ht="15" customHeight="1">
      <c r="A17" s="901" t="s">
        <v>315</v>
      </c>
      <c r="B17" s="901"/>
      <c r="C17" s="170">
        <v>1.55</v>
      </c>
      <c r="D17" s="170">
        <v>1.44</v>
      </c>
      <c r="E17" s="172">
        <v>2.87</v>
      </c>
      <c r="F17" s="172">
        <v>2.89</v>
      </c>
      <c r="G17" s="173">
        <v>2.91</v>
      </c>
      <c r="H17" s="171" t="s">
        <v>278</v>
      </c>
    </row>
    <row r="18" spans="1:8" ht="15" customHeight="1">
      <c r="A18" s="900" t="s">
        <v>316</v>
      </c>
      <c r="B18" s="900"/>
      <c r="C18" s="170">
        <v>0.07</v>
      </c>
      <c r="D18" s="170">
        <v>0.07</v>
      </c>
      <c r="E18" s="170">
        <v>0.07</v>
      </c>
      <c r="F18" s="170">
        <v>0.07</v>
      </c>
      <c r="G18" s="170">
        <v>0.07</v>
      </c>
      <c r="H18" s="171">
        <v>0.07</v>
      </c>
    </row>
    <row r="19" spans="1:8" ht="15" customHeight="1">
      <c r="A19" s="900" t="s">
        <v>175</v>
      </c>
      <c r="B19" s="900"/>
      <c r="C19" s="170">
        <v>0.9</v>
      </c>
      <c r="D19" s="170">
        <v>0.9</v>
      </c>
      <c r="E19" s="170">
        <v>0.9</v>
      </c>
      <c r="F19" s="170">
        <v>0.9</v>
      </c>
      <c r="G19" s="170">
        <v>0.9</v>
      </c>
      <c r="H19" s="174" t="s">
        <v>121</v>
      </c>
    </row>
    <row r="20" spans="1:8" ht="15" customHeight="1">
      <c r="A20" s="902" t="s">
        <v>317</v>
      </c>
      <c r="B20" s="902"/>
      <c r="C20" s="170">
        <v>0.4</v>
      </c>
      <c r="D20" s="170">
        <v>0.4</v>
      </c>
      <c r="E20" s="170">
        <v>0.4</v>
      </c>
      <c r="F20" s="170">
        <v>0.4</v>
      </c>
      <c r="G20" s="170">
        <v>0.4</v>
      </c>
      <c r="H20" s="171">
        <v>0.5</v>
      </c>
    </row>
    <row r="21" spans="1:8" ht="15" customHeight="1">
      <c r="A21" s="900" t="s">
        <v>335</v>
      </c>
      <c r="B21" s="900"/>
      <c r="C21" s="170">
        <v>2</v>
      </c>
      <c r="D21" s="170">
        <v>2</v>
      </c>
      <c r="E21" s="172">
        <v>2</v>
      </c>
      <c r="F21" s="172">
        <v>2</v>
      </c>
      <c r="G21" s="172">
        <v>2</v>
      </c>
      <c r="H21" s="171">
        <v>2</v>
      </c>
    </row>
    <row r="22" spans="1:8" ht="15" customHeight="1" thickBot="1">
      <c r="A22" s="900" t="s">
        <v>318</v>
      </c>
      <c r="B22" s="900"/>
      <c r="C22" s="170">
        <v>1.79</v>
      </c>
      <c r="D22" s="170">
        <v>1.79</v>
      </c>
      <c r="E22" s="170">
        <v>1.79</v>
      </c>
      <c r="F22" s="170">
        <v>1.79</v>
      </c>
      <c r="G22" s="170">
        <v>1.79</v>
      </c>
      <c r="H22" s="171">
        <v>1.9</v>
      </c>
    </row>
    <row r="23" spans="1:8" ht="15" customHeight="1" thickBot="1">
      <c r="A23" s="903" t="s">
        <v>20</v>
      </c>
      <c r="B23" s="903"/>
      <c r="C23" s="176">
        <v>12.7</v>
      </c>
      <c r="D23" s="176">
        <v>12.59</v>
      </c>
      <c r="E23" s="177">
        <v>14.02</v>
      </c>
      <c r="F23" s="178">
        <v>14.040000000000003</v>
      </c>
      <c r="G23" s="178">
        <v>14.060000000000002</v>
      </c>
      <c r="H23" s="178">
        <v>13.270000000000001</v>
      </c>
    </row>
    <row r="24" spans="1:8" ht="15" customHeight="1" thickBot="1">
      <c r="A24" s="179" t="s">
        <v>319</v>
      </c>
      <c r="B24" s="180"/>
      <c r="C24" s="181">
        <v>33</v>
      </c>
      <c r="D24" s="181">
        <v>33</v>
      </c>
      <c r="E24" s="181">
        <v>33</v>
      </c>
      <c r="F24" s="181">
        <v>33</v>
      </c>
      <c r="G24" s="181">
        <v>33</v>
      </c>
      <c r="H24" s="177"/>
    </row>
    <row r="25" spans="1:8" ht="15" customHeight="1" thickBot="1">
      <c r="A25" s="182" t="s">
        <v>320</v>
      </c>
      <c r="B25" s="183"/>
      <c r="C25" s="184">
        <v>0.32</v>
      </c>
      <c r="D25" s="184">
        <v>0.32</v>
      </c>
      <c r="E25" s="184">
        <v>0.32</v>
      </c>
      <c r="F25" s="184">
        <v>0.32</v>
      </c>
      <c r="G25" s="184">
        <v>0.32</v>
      </c>
      <c r="H25" s="185" t="s">
        <v>278</v>
      </c>
    </row>
    <row r="26" spans="1:8" ht="15" customHeight="1" thickBot="1">
      <c r="A26" s="182" t="s">
        <v>321</v>
      </c>
      <c r="B26" s="183"/>
      <c r="C26" s="184">
        <v>45</v>
      </c>
      <c r="D26" s="184">
        <v>45</v>
      </c>
      <c r="E26" s="184">
        <v>45</v>
      </c>
      <c r="F26" s="184">
        <v>45</v>
      </c>
      <c r="G26" s="184">
        <v>45</v>
      </c>
      <c r="H26" s="185" t="s">
        <v>278</v>
      </c>
    </row>
    <row r="27" spans="1:8" ht="15" customHeight="1" thickBot="1">
      <c r="A27" s="182" t="s">
        <v>322</v>
      </c>
      <c r="B27" s="183"/>
      <c r="C27" s="904" t="s">
        <v>323</v>
      </c>
      <c r="D27" s="904"/>
      <c r="E27" s="904"/>
      <c r="F27" s="904"/>
      <c r="G27" s="904"/>
      <c r="H27" s="904"/>
    </row>
    <row r="28" spans="1:8" ht="15" customHeight="1" thickBot="1">
      <c r="A28" s="905" t="s">
        <v>324</v>
      </c>
      <c r="B28" s="905"/>
      <c r="C28" s="906"/>
      <c r="D28" s="906"/>
      <c r="E28" s="906"/>
      <c r="F28" s="906"/>
      <c r="G28" s="906"/>
      <c r="H28" s="906"/>
    </row>
    <row r="29" spans="1:8" ht="15" customHeight="1" thickBot="1">
      <c r="A29" s="175"/>
      <c r="B29" s="186" t="s">
        <v>325</v>
      </c>
      <c r="C29" s="908" t="s">
        <v>323</v>
      </c>
      <c r="D29" s="908"/>
      <c r="E29" s="908"/>
      <c r="F29" s="908"/>
      <c r="G29" s="908"/>
      <c r="H29" s="908"/>
    </row>
    <row r="30" spans="1:8" ht="15" customHeight="1" thickBot="1">
      <c r="A30" s="175"/>
      <c r="B30" s="186" t="s">
        <v>326</v>
      </c>
      <c r="C30" s="908" t="s">
        <v>323</v>
      </c>
      <c r="D30" s="908"/>
      <c r="E30" s="908"/>
      <c r="F30" s="908"/>
      <c r="G30" s="908"/>
      <c r="H30" s="908"/>
    </row>
    <row r="31" spans="1:8" ht="15" customHeight="1" thickBot="1">
      <c r="A31" s="175"/>
      <c r="B31" s="186" t="s">
        <v>153</v>
      </c>
      <c r="C31" s="908" t="s">
        <v>323</v>
      </c>
      <c r="D31" s="908"/>
      <c r="E31" s="908"/>
      <c r="F31" s="908"/>
      <c r="G31" s="908"/>
      <c r="H31" s="908"/>
    </row>
    <row r="32" spans="1:8" ht="15" customHeight="1" thickBot="1">
      <c r="A32" s="152"/>
      <c r="B32" s="187" t="s">
        <v>327</v>
      </c>
      <c r="C32" s="908" t="s">
        <v>323</v>
      </c>
      <c r="D32" s="908"/>
      <c r="E32" s="908"/>
      <c r="F32" s="908"/>
      <c r="G32" s="908"/>
      <c r="H32" s="908"/>
    </row>
    <row r="33" spans="1:7" ht="15" customHeight="1">
      <c r="A33" s="909"/>
      <c r="B33" s="909"/>
      <c r="C33" s="910"/>
      <c r="D33" s="910"/>
      <c r="E33" s="910"/>
      <c r="F33" s="188"/>
      <c r="G33" s="188"/>
    </row>
    <row r="34" spans="1:7" ht="14.25">
      <c r="A34" s="183"/>
      <c r="B34" s="183"/>
      <c r="C34" s="907"/>
      <c r="D34" s="907"/>
      <c r="E34" s="907"/>
      <c r="F34" s="188"/>
      <c r="G34" s="188"/>
    </row>
    <row r="35" spans="1:5" ht="14.25">
      <c r="A35" s="125" t="s">
        <v>328</v>
      </c>
      <c r="E35" s="125" t="s">
        <v>285</v>
      </c>
    </row>
  </sheetData>
  <sheetProtection/>
  <mergeCells count="25">
    <mergeCell ref="C34:E34"/>
    <mergeCell ref="C29:H29"/>
    <mergeCell ref="C30:H30"/>
    <mergeCell ref="C31:H31"/>
    <mergeCell ref="C32:H32"/>
    <mergeCell ref="A33:B33"/>
    <mergeCell ref="C33:E33"/>
    <mergeCell ref="A21:B21"/>
    <mergeCell ref="A22:B22"/>
    <mergeCell ref="A23:B23"/>
    <mergeCell ref="C27:H27"/>
    <mergeCell ref="A28:B28"/>
    <mergeCell ref="C28:H28"/>
    <mergeCell ref="A12:B12"/>
    <mergeCell ref="A16:B16"/>
    <mergeCell ref="A17:B17"/>
    <mergeCell ref="A18:B18"/>
    <mergeCell ref="A19:B19"/>
    <mergeCell ref="A20:B20"/>
    <mergeCell ref="A6:H6"/>
    <mergeCell ref="A7:H7"/>
    <mergeCell ref="A8:H8"/>
    <mergeCell ref="C10:H10"/>
    <mergeCell ref="A11:B11"/>
    <mergeCell ref="C11:H1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0">
      <selection activeCell="K20" sqref="K20"/>
    </sheetView>
  </sheetViews>
  <sheetFormatPr defaultColWidth="23.8984375" defaultRowHeight="14.25"/>
  <cols>
    <col min="1" max="1" width="4" style="529" customWidth="1"/>
    <col min="2" max="2" width="18.8984375" style="529" customWidth="1"/>
    <col min="3" max="4" width="15.3984375" style="529" customWidth="1"/>
    <col min="5" max="5" width="12.5" style="529" customWidth="1"/>
    <col min="6" max="6" width="13.69921875" style="529" customWidth="1"/>
    <col min="7" max="7" width="12.09765625" style="778" customWidth="1"/>
    <col min="8" max="8" width="12.09765625" style="529" customWidth="1"/>
    <col min="9" max="9" width="11.69921875" style="529" customWidth="1"/>
    <col min="10" max="10" width="15.59765625" style="543" customWidth="1"/>
    <col min="11" max="12" width="23.8984375" style="529" customWidth="1"/>
    <col min="13" max="15" width="13.69921875" style="529" customWidth="1"/>
    <col min="16" max="16" width="9.5" style="529" customWidth="1"/>
    <col min="17" max="16384" width="23.8984375" style="529" customWidth="1"/>
  </cols>
  <sheetData>
    <row r="1" ht="18.75">
      <c r="J1" s="508" t="s">
        <v>0</v>
      </c>
    </row>
    <row r="2" spans="1:11" s="530" customFormat="1" ht="15.75">
      <c r="A2" s="963" t="s">
        <v>5</v>
      </c>
      <c r="B2" s="963"/>
      <c r="C2" s="963"/>
      <c r="D2" s="963"/>
      <c r="E2" s="963"/>
      <c r="F2" s="963"/>
      <c r="G2" s="963"/>
      <c r="H2" s="963"/>
      <c r="I2" s="963"/>
      <c r="J2" s="963"/>
      <c r="K2" s="553"/>
    </row>
    <row r="3" spans="1:10" s="530" customFormat="1" ht="16.5" thickBot="1">
      <c r="A3" s="964" t="s">
        <v>358</v>
      </c>
      <c r="B3" s="964"/>
      <c r="C3" s="964"/>
      <c r="D3" s="964"/>
      <c r="E3" s="964"/>
      <c r="F3" s="964"/>
      <c r="G3" s="964"/>
      <c r="H3" s="964"/>
      <c r="I3" s="964"/>
      <c r="J3" s="964"/>
    </row>
    <row r="4" spans="1:12" s="530" customFormat="1" ht="15.75" customHeight="1">
      <c r="A4" s="913"/>
      <c r="B4" s="914"/>
      <c r="C4" s="924" t="s">
        <v>6</v>
      </c>
      <c r="D4" s="924"/>
      <c r="E4" s="924"/>
      <c r="F4" s="779" t="s">
        <v>7</v>
      </c>
      <c r="G4" s="953" t="s">
        <v>422</v>
      </c>
      <c r="H4" s="955" t="s">
        <v>103</v>
      </c>
      <c r="I4" s="955">
        <v>2018</v>
      </c>
      <c r="J4" s="958" t="s">
        <v>377</v>
      </c>
      <c r="K4" s="574"/>
      <c r="L4" s="574"/>
    </row>
    <row r="5" spans="1:12" s="530" customFormat="1" ht="15.75">
      <c r="A5" s="915"/>
      <c r="B5" s="916"/>
      <c r="C5" s="531" t="s">
        <v>413</v>
      </c>
      <c r="D5" s="531" t="s">
        <v>87</v>
      </c>
      <c r="E5" s="531" t="s">
        <v>414</v>
      </c>
      <c r="F5" s="560" t="s">
        <v>415</v>
      </c>
      <c r="G5" s="954"/>
      <c r="H5" s="956"/>
      <c r="I5" s="956"/>
      <c r="J5" s="959"/>
      <c r="K5" s="710"/>
      <c r="L5" s="574"/>
    </row>
    <row r="6" spans="1:16" s="530" customFormat="1" ht="15.75">
      <c r="A6" s="927" t="s">
        <v>15</v>
      </c>
      <c r="B6" s="928"/>
      <c r="C6" s="532">
        <f>'[3]СВОД '!$D$6</f>
        <v>19482.09999887</v>
      </c>
      <c r="D6" s="532">
        <f>'[3]СВОД '!$E$6</f>
        <v>4291.249999919999</v>
      </c>
      <c r="E6" s="533">
        <f>C6+D6</f>
        <v>23773.34999879</v>
      </c>
      <c r="F6" s="560">
        <v>7</v>
      </c>
      <c r="G6" s="954"/>
      <c r="H6" s="957"/>
      <c r="I6" s="957"/>
      <c r="J6" s="960"/>
      <c r="K6" s="710"/>
      <c r="L6" s="710"/>
      <c r="M6" s="553">
        <f>'[6]МИНСКАЯ'!$F$434</f>
        <v>19466.699998869997</v>
      </c>
      <c r="N6" s="553">
        <f>'[6]МИНСКАЯ'!$F$475</f>
        <v>4298.299999929999</v>
      </c>
      <c r="O6" s="553">
        <f>M6+N6</f>
        <v>23764.999998799998</v>
      </c>
      <c r="P6" s="553">
        <f>E6-O6</f>
        <v>8.349999990001379</v>
      </c>
    </row>
    <row r="7" spans="1:16" s="530" customFormat="1" ht="15.75">
      <c r="A7" s="927" t="s">
        <v>16</v>
      </c>
      <c r="B7" s="928"/>
      <c r="C7" s="532">
        <f>'[2]СВОД '!$D$7</f>
        <v>17835.599999</v>
      </c>
      <c r="D7" s="532">
        <f>'[2]СВОД '!$E$7</f>
        <v>3618.5999999399996</v>
      </c>
      <c r="E7" s="533">
        <f>C7+D7</f>
        <v>21454.19999894</v>
      </c>
      <c r="F7" s="560">
        <v>6</v>
      </c>
      <c r="G7" s="780" t="s">
        <v>105</v>
      </c>
      <c r="H7" s="781">
        <v>191603.6</v>
      </c>
      <c r="I7" s="782">
        <v>201498.78</v>
      </c>
      <c r="J7" s="783">
        <f>3833.46*49</f>
        <v>187839.54</v>
      </c>
      <c r="K7" s="784">
        <f>J7</f>
        <v>187839.54</v>
      </c>
      <c r="L7" s="710"/>
      <c r="M7" s="553">
        <f>'[6]НАГОРНАЯ'!$F$429</f>
        <v>17835.599999</v>
      </c>
      <c r="N7" s="553">
        <f>'[6]НАГОРНАЯ'!$F$461</f>
        <v>3635.39999994</v>
      </c>
      <c r="O7" s="553">
        <f>M7+N7</f>
        <v>21470.99999894</v>
      </c>
      <c r="P7" s="553">
        <f>E7-O7</f>
        <v>-16.799999999999272</v>
      </c>
    </row>
    <row r="8" spans="1:16" s="530" customFormat="1" ht="15.75">
      <c r="A8" s="927" t="s">
        <v>17</v>
      </c>
      <c r="B8" s="928"/>
      <c r="C8" s="532">
        <f>'[2]СВОД '!$D$8</f>
        <v>20878.29999869</v>
      </c>
      <c r="D8" s="532">
        <f>'[2]СВОД '!$E$8</f>
        <v>4619.799999920001</v>
      </c>
      <c r="E8" s="533">
        <f>C8+D8</f>
        <v>25498.09999861</v>
      </c>
      <c r="F8" s="560">
        <v>14</v>
      </c>
      <c r="G8" s="780" t="s">
        <v>108</v>
      </c>
      <c r="H8" s="781">
        <v>77342</v>
      </c>
      <c r="I8" s="782">
        <v>77342</v>
      </c>
      <c r="J8" s="783">
        <f>1560*49</f>
        <v>76440</v>
      </c>
      <c r="K8" s="784">
        <f>J8/12</f>
        <v>6370</v>
      </c>
      <c r="L8" s="710"/>
      <c r="M8" s="553">
        <f>'[6]КРОМСКАЯ'!$F$466</f>
        <v>20878.2999987</v>
      </c>
      <c r="N8" s="553">
        <f>'[6]КРОМСКАЯ'!$F$520</f>
        <v>4619.799999920001</v>
      </c>
      <c r="O8" s="553">
        <f>M8+N8</f>
        <v>25498.09999862</v>
      </c>
      <c r="P8" s="553">
        <f>E8-O8</f>
        <v>-1.0000803740695119E-08</v>
      </c>
    </row>
    <row r="9" spans="1:16" s="530" customFormat="1" ht="15.75">
      <c r="A9" s="927" t="s">
        <v>18</v>
      </c>
      <c r="B9" s="928"/>
      <c r="C9" s="532">
        <f>'[2]СВОД '!$D$9</f>
        <v>14850.899999229998</v>
      </c>
      <c r="D9" s="532">
        <f>'[2]СВОД '!$E$9</f>
        <v>1609.2999999400001</v>
      </c>
      <c r="E9" s="533">
        <f>C9+D9</f>
        <v>16460.19999917</v>
      </c>
      <c r="F9" s="560">
        <v>10</v>
      </c>
      <c r="G9" s="780" t="s">
        <v>295</v>
      </c>
      <c r="H9" s="785"/>
      <c r="I9" s="554">
        <v>25000</v>
      </c>
      <c r="J9" s="786">
        <v>75000</v>
      </c>
      <c r="K9" s="710">
        <f>J9/12</f>
        <v>6250</v>
      </c>
      <c r="L9" s="710"/>
      <c r="M9" s="553">
        <f>'[6]С_204'!$F$324</f>
        <v>14850.899999229998</v>
      </c>
      <c r="N9" s="553">
        <f>'[6]С_204'!$F$349</f>
        <v>1609.2999999400001</v>
      </c>
      <c r="O9" s="553">
        <f>M9+N9</f>
        <v>16460.19999917</v>
      </c>
      <c r="P9" s="553">
        <f>E9-O9</f>
        <v>0</v>
      </c>
    </row>
    <row r="10" spans="1:16" s="530" customFormat="1" ht="15.75">
      <c r="A10" s="927" t="s">
        <v>19</v>
      </c>
      <c r="B10" s="928"/>
      <c r="C10" s="532">
        <f>'[2]СВОД '!$D$10</f>
        <v>17690.79999905</v>
      </c>
      <c r="D10" s="532">
        <f>'[2]СВОД '!$E$10</f>
        <v>2728.89999994</v>
      </c>
      <c r="E10" s="533">
        <f>C10+D10</f>
        <v>20419.69999899</v>
      </c>
      <c r="F10" s="560">
        <v>12</v>
      </c>
      <c r="G10" s="556" t="s">
        <v>423</v>
      </c>
      <c r="H10" s="554">
        <v>25000</v>
      </c>
      <c r="I10" s="555">
        <v>15000</v>
      </c>
      <c r="J10" s="557">
        <v>15000</v>
      </c>
      <c r="K10" s="710">
        <f>J10/12</f>
        <v>1250</v>
      </c>
      <c r="L10" s="710"/>
      <c r="M10" s="553">
        <f>'[6]С_202'!$F$411</f>
        <v>17690.79999905</v>
      </c>
      <c r="N10" s="553">
        <f>'[6]С_202'!$F$439</f>
        <v>2730.6999999399995</v>
      </c>
      <c r="O10" s="553">
        <f>M10+N10</f>
        <v>20421.49999899</v>
      </c>
      <c r="P10" s="553">
        <f>E10-O10</f>
        <v>-1.7999999999992724</v>
      </c>
    </row>
    <row r="11" spans="1:16" s="530" customFormat="1" ht="16.5" thickBot="1">
      <c r="A11" s="561" t="s">
        <v>20</v>
      </c>
      <c r="B11" s="562"/>
      <c r="C11" s="563">
        <f>SUM(C6:C10)</f>
        <v>90737.69999483999</v>
      </c>
      <c r="D11" s="563">
        <f>SUM(D6:D10)</f>
        <v>16867.849999659997</v>
      </c>
      <c r="E11" s="563">
        <f>SUM(E6:E10)</f>
        <v>107605.5499945</v>
      </c>
      <c r="F11" s="564">
        <v>49</v>
      </c>
      <c r="G11" s="961" t="s">
        <v>424</v>
      </c>
      <c r="H11" s="962"/>
      <c r="I11" s="559">
        <f>(I7+I8/12+I9/12+I10/12)/49</f>
        <v>4311.781224489796</v>
      </c>
      <c r="J11" s="558">
        <f>(J7+J8/12+J9/12+J10/12)/49</f>
        <v>4116.521224489796</v>
      </c>
      <c r="K11" s="710">
        <f>SUM(K7:K10)</f>
        <v>201709.54</v>
      </c>
      <c r="L11" s="710">
        <f>J11*49</f>
        <v>201709.53999999998</v>
      </c>
      <c r="M11" s="553">
        <f>SUM(M6:M10)</f>
        <v>90722.29999485</v>
      </c>
      <c r="N11" s="553">
        <f>SUM(N6:N10)</f>
        <v>16893.49999967</v>
      </c>
      <c r="O11" s="553">
        <f>SUM(O6:O10)</f>
        <v>107615.79999452</v>
      </c>
      <c r="P11" s="553">
        <f>SUM(P6:P10)</f>
        <v>-10.25000001999797</v>
      </c>
    </row>
    <row r="12" spans="11:12" ht="16.5" thickBot="1">
      <c r="K12" s="710"/>
      <c r="L12" s="710"/>
    </row>
    <row r="13" spans="1:12" ht="15.75" customHeight="1">
      <c r="A13" s="911" t="s">
        <v>406</v>
      </c>
      <c r="B13" s="935" t="s">
        <v>405</v>
      </c>
      <c r="C13" s="936"/>
      <c r="D13" s="937"/>
      <c r="E13" s="911" t="s">
        <v>407</v>
      </c>
      <c r="F13" s="925" t="s">
        <v>418</v>
      </c>
      <c r="G13" s="936" t="s">
        <v>420</v>
      </c>
      <c r="H13" s="948" t="s">
        <v>20</v>
      </c>
      <c r="I13" s="945" t="str">
        <f>Штатное!AV9</f>
        <v>В договор</v>
      </c>
      <c r="J13" s="917" t="s">
        <v>425</v>
      </c>
      <c r="K13" s="710"/>
      <c r="L13" s="710"/>
    </row>
    <row r="14" spans="1:10" ht="16.5" thickBot="1">
      <c r="A14" s="912"/>
      <c r="B14" s="938"/>
      <c r="C14" s="939"/>
      <c r="D14" s="940"/>
      <c r="E14" s="912"/>
      <c r="F14" s="926"/>
      <c r="G14" s="939"/>
      <c r="H14" s="949"/>
      <c r="I14" s="946"/>
      <c r="J14" s="917"/>
    </row>
    <row r="15" spans="1:10" ht="15.75" customHeight="1">
      <c r="A15" s="787" t="s">
        <v>28</v>
      </c>
      <c r="B15" s="929" t="s">
        <v>29</v>
      </c>
      <c r="C15" s="930"/>
      <c r="D15" s="931"/>
      <c r="E15" s="788">
        <v>1</v>
      </c>
      <c r="F15" s="789">
        <f>Штатное!L12</f>
        <v>44078.1</v>
      </c>
      <c r="G15" s="537">
        <f>Штатное!AR12-F15</f>
        <v>13311.586200000005</v>
      </c>
      <c r="H15" s="544">
        <f>Штатное!AT12</f>
        <v>57389.686200000004</v>
      </c>
      <c r="I15" s="565"/>
      <c r="J15" s="917"/>
    </row>
    <row r="16" spans="1:10" ht="15.75" customHeight="1">
      <c r="A16" s="534" t="s">
        <v>30</v>
      </c>
      <c r="B16" s="921" t="s">
        <v>408</v>
      </c>
      <c r="C16" s="922"/>
      <c r="D16" s="923"/>
      <c r="E16" s="790">
        <v>1</v>
      </c>
      <c r="F16" s="791">
        <f>Штатное!L13</f>
        <v>42453.6</v>
      </c>
      <c r="G16" s="532">
        <f>Штатное!AR13-F16</f>
        <v>12820.987199999996</v>
      </c>
      <c r="H16" s="539">
        <f>Штатное!AT13</f>
        <v>55274.587199999994</v>
      </c>
      <c r="I16" s="566"/>
      <c r="J16" s="917"/>
    </row>
    <row r="17" spans="1:10" ht="15.75" customHeight="1">
      <c r="A17" s="534" t="s">
        <v>32</v>
      </c>
      <c r="B17" s="921" t="s">
        <v>33</v>
      </c>
      <c r="C17" s="922"/>
      <c r="D17" s="923"/>
      <c r="E17" s="790">
        <v>1</v>
      </c>
      <c r="F17" s="791">
        <f>Штатное!L14</f>
        <v>29565.9</v>
      </c>
      <c r="G17" s="532">
        <f>Штатное!AR14-F17</f>
        <v>8928.9018</v>
      </c>
      <c r="H17" s="539">
        <f>Штатное!AT14</f>
        <v>38494.8018</v>
      </c>
      <c r="I17" s="943">
        <v>65600</v>
      </c>
      <c r="J17" s="917"/>
    </row>
    <row r="18" spans="1:10" ht="15.75" customHeight="1">
      <c r="A18" s="534" t="s">
        <v>34</v>
      </c>
      <c r="B18" s="921" t="s">
        <v>33</v>
      </c>
      <c r="C18" s="922"/>
      <c r="D18" s="923"/>
      <c r="E18" s="790">
        <v>1</v>
      </c>
      <c r="F18" s="791">
        <f>Штатное!L15</f>
        <v>29565.9</v>
      </c>
      <c r="G18" s="532">
        <f>Штатное!AR15-F18</f>
        <v>8928.9018</v>
      </c>
      <c r="H18" s="539">
        <f>Штатное!AT15</f>
        <v>38494.8018</v>
      </c>
      <c r="I18" s="944"/>
      <c r="J18" s="917"/>
    </row>
    <row r="19" spans="1:10" ht="15.75" customHeight="1">
      <c r="A19" s="534" t="s">
        <v>35</v>
      </c>
      <c r="B19" s="921" t="s">
        <v>36</v>
      </c>
      <c r="C19" s="922"/>
      <c r="D19" s="923"/>
      <c r="E19" s="790">
        <v>1</v>
      </c>
      <c r="F19" s="791">
        <f>Штатное!L16</f>
        <v>13104.3</v>
      </c>
      <c r="G19" s="532">
        <f>Штатное!AR16-F19</f>
        <v>3957.4986000000026</v>
      </c>
      <c r="H19" s="539">
        <f>Штатное!AT16</f>
        <v>17061.798600000002</v>
      </c>
      <c r="I19" s="566"/>
      <c r="J19" s="917"/>
    </row>
    <row r="20" spans="1:10" ht="15.75" customHeight="1">
      <c r="A20" s="534" t="s">
        <v>37</v>
      </c>
      <c r="B20" s="921" t="s">
        <v>38</v>
      </c>
      <c r="C20" s="922"/>
      <c r="D20" s="923"/>
      <c r="E20" s="790">
        <v>1</v>
      </c>
      <c r="F20" s="791">
        <f>Штатное!L17</f>
        <v>24475.8</v>
      </c>
      <c r="G20" s="532">
        <f>Штатное!AR17-F20</f>
        <v>7391.691599999998</v>
      </c>
      <c r="H20" s="539">
        <f>Штатное!AT17</f>
        <v>31867.491599999998</v>
      </c>
      <c r="I20" s="566">
        <v>20000</v>
      </c>
      <c r="J20" s="917"/>
    </row>
    <row r="21" spans="1:10" ht="15.75" customHeight="1">
      <c r="A21" s="534" t="s">
        <v>39</v>
      </c>
      <c r="B21" s="921" t="s">
        <v>40</v>
      </c>
      <c r="C21" s="922"/>
      <c r="D21" s="923"/>
      <c r="E21" s="790">
        <v>3</v>
      </c>
      <c r="F21" s="791">
        <f>Штатное!L18</f>
        <v>63680.4</v>
      </c>
      <c r="G21" s="532">
        <f>Штатное!AR18-F21</f>
        <v>19231.480800000012</v>
      </c>
      <c r="H21" s="539">
        <f>Штатное!AT18</f>
        <v>82911.88080000001</v>
      </c>
      <c r="I21" s="566"/>
      <c r="J21" s="917"/>
    </row>
    <row r="22" spans="1:10" ht="15.75" customHeight="1">
      <c r="A22" s="534" t="s">
        <v>41</v>
      </c>
      <c r="B22" s="921" t="s">
        <v>40</v>
      </c>
      <c r="C22" s="922"/>
      <c r="D22" s="923"/>
      <c r="E22" s="790">
        <v>1</v>
      </c>
      <c r="F22" s="791">
        <f>Штатное!L19</f>
        <v>21226.8</v>
      </c>
      <c r="G22" s="532">
        <f>Штатное!AR19-F22</f>
        <v>6410.493599999998</v>
      </c>
      <c r="H22" s="539">
        <f>Штатное!AT19</f>
        <v>27637.293599999997</v>
      </c>
      <c r="I22" s="566"/>
      <c r="J22" s="917"/>
    </row>
    <row r="23" spans="1:10" ht="15.75" customHeight="1">
      <c r="A23" s="534" t="s">
        <v>42</v>
      </c>
      <c r="B23" s="918" t="s">
        <v>409</v>
      </c>
      <c r="C23" s="919"/>
      <c r="D23" s="920"/>
      <c r="E23" s="790">
        <v>1</v>
      </c>
      <c r="F23" s="791">
        <f>Штатное!L20</f>
        <v>28049.7</v>
      </c>
      <c r="G23" s="532">
        <f>Штатное!AR20-F23</f>
        <v>8471.009400000006</v>
      </c>
      <c r="H23" s="539">
        <f>Штатное!AT20</f>
        <v>36520.70940000001</v>
      </c>
      <c r="I23" s="566"/>
      <c r="J23" s="917"/>
    </row>
    <row r="24" spans="1:10" ht="15.75" customHeight="1">
      <c r="A24" s="534" t="s">
        <v>44</v>
      </c>
      <c r="B24" s="921" t="s">
        <v>45</v>
      </c>
      <c r="C24" s="922"/>
      <c r="D24" s="923"/>
      <c r="E24" s="790">
        <v>1</v>
      </c>
      <c r="F24" s="791">
        <f>Штатное!L21</f>
        <v>28049.7</v>
      </c>
      <c r="G24" s="532">
        <f>Штатное!AR21-F24</f>
        <v>8471.009400000006</v>
      </c>
      <c r="H24" s="539">
        <f>Штатное!AT21</f>
        <v>36520.70940000001</v>
      </c>
      <c r="I24" s="566">
        <f>Штатное!AV21</f>
        <v>20105.050000000003</v>
      </c>
      <c r="J24" s="917"/>
    </row>
    <row r="25" spans="1:10" ht="15.75" customHeight="1">
      <c r="A25" s="534" t="s">
        <v>46</v>
      </c>
      <c r="B25" s="921" t="s">
        <v>47</v>
      </c>
      <c r="C25" s="922"/>
      <c r="D25" s="923"/>
      <c r="E25" s="790">
        <v>2</v>
      </c>
      <c r="F25" s="791">
        <f>Штатное!L22</f>
        <v>35739</v>
      </c>
      <c r="G25" s="532">
        <f>Штатное!AR22-F25</f>
        <v>10793.178</v>
      </c>
      <c r="H25" s="539">
        <f>Штатное!AT22</f>
        <v>46532.178</v>
      </c>
      <c r="I25" s="566"/>
      <c r="J25" s="917"/>
    </row>
    <row r="26" spans="1:10" ht="15.75" customHeight="1">
      <c r="A26" s="534" t="s">
        <v>48</v>
      </c>
      <c r="B26" s="921" t="s">
        <v>49</v>
      </c>
      <c r="C26" s="922"/>
      <c r="D26" s="923"/>
      <c r="E26" s="790">
        <v>2</v>
      </c>
      <c r="F26" s="791">
        <f>Штатное!L23</f>
        <v>27399.9</v>
      </c>
      <c r="G26" s="532">
        <f>Штатное!AR23-F26</f>
        <v>8274.76980000001</v>
      </c>
      <c r="H26" s="539">
        <f>Штатное!AT23</f>
        <v>35674.66980000001</v>
      </c>
      <c r="I26" s="566"/>
      <c r="J26" s="917"/>
    </row>
    <row r="27" spans="1:10" ht="15.75" customHeight="1">
      <c r="A27" s="534" t="s">
        <v>50</v>
      </c>
      <c r="B27" s="921" t="s">
        <v>51</v>
      </c>
      <c r="C27" s="922"/>
      <c r="D27" s="923"/>
      <c r="E27" s="790">
        <v>2</v>
      </c>
      <c r="F27" s="791">
        <f>Штатное!L24</f>
        <v>32923.2</v>
      </c>
      <c r="G27" s="532">
        <f>Штатное!AR24-F27</f>
        <v>9942.806400000001</v>
      </c>
      <c r="H27" s="539">
        <f>Штатное!AT24</f>
        <v>42866.0064</v>
      </c>
      <c r="I27" s="566"/>
      <c r="J27" s="917"/>
    </row>
    <row r="28" spans="1:10" ht="15.75" customHeight="1">
      <c r="A28" s="534" t="s">
        <v>52</v>
      </c>
      <c r="B28" s="921" t="s">
        <v>53</v>
      </c>
      <c r="C28" s="922"/>
      <c r="D28" s="923"/>
      <c r="E28" s="790">
        <v>2</v>
      </c>
      <c r="F28" s="791">
        <f>Штатное!L25</f>
        <v>17869.5</v>
      </c>
      <c r="G28" s="532">
        <f>Штатное!AR25-F28</f>
        <v>5396.589</v>
      </c>
      <c r="H28" s="539">
        <f>Штатное!AT25</f>
        <v>23266.089</v>
      </c>
      <c r="I28" s="566"/>
      <c r="J28" s="917"/>
    </row>
    <row r="29" spans="1:10" ht="15.75" customHeight="1">
      <c r="A29" s="534" t="s">
        <v>54</v>
      </c>
      <c r="B29" s="921" t="s">
        <v>55</v>
      </c>
      <c r="C29" s="922"/>
      <c r="D29" s="923"/>
      <c r="E29" s="790">
        <v>2</v>
      </c>
      <c r="F29" s="791">
        <f>Штатное!L26</f>
        <v>32923.2</v>
      </c>
      <c r="G29" s="532">
        <f>Штатное!AR26-F29</f>
        <v>9942.806400000001</v>
      </c>
      <c r="H29" s="539">
        <f>Штатное!AT26</f>
        <v>42866.0064</v>
      </c>
      <c r="I29" s="566"/>
      <c r="J29" s="917"/>
    </row>
    <row r="30" spans="1:10" ht="15.75" customHeight="1">
      <c r="A30" s="534" t="s">
        <v>56</v>
      </c>
      <c r="B30" s="921" t="s">
        <v>410</v>
      </c>
      <c r="C30" s="922"/>
      <c r="D30" s="923"/>
      <c r="E30" s="790">
        <v>7</v>
      </c>
      <c r="F30" s="791">
        <f>Штатное!L27</f>
        <v>25017.3</v>
      </c>
      <c r="G30" s="532">
        <f>Штатное!AR27-F30</f>
        <v>7555.224599999998</v>
      </c>
      <c r="H30" s="539">
        <f>Штатное!AT27</f>
        <v>32572.524599999997</v>
      </c>
      <c r="I30" s="566"/>
      <c r="J30" s="917"/>
    </row>
    <row r="31" spans="1:10" ht="15.75" customHeight="1">
      <c r="A31" s="534" t="s">
        <v>57</v>
      </c>
      <c r="B31" s="921" t="s">
        <v>411</v>
      </c>
      <c r="C31" s="922"/>
      <c r="D31" s="923"/>
      <c r="E31" s="790">
        <v>6</v>
      </c>
      <c r="F31" s="791">
        <f>Штатное!L28</f>
        <v>21443.4</v>
      </c>
      <c r="G31" s="532">
        <f>Штатное!AR28-F31</f>
        <v>6475.906799999997</v>
      </c>
      <c r="H31" s="539">
        <f>Штатное!AT28</f>
        <v>27919.3068</v>
      </c>
      <c r="I31" s="566"/>
      <c r="J31" s="917"/>
    </row>
    <row r="32" spans="1:10" ht="15.75" customHeight="1">
      <c r="A32" s="534" t="s">
        <v>58</v>
      </c>
      <c r="B32" s="921" t="s">
        <v>412</v>
      </c>
      <c r="C32" s="922"/>
      <c r="D32" s="923"/>
      <c r="E32" s="790">
        <v>7</v>
      </c>
      <c r="F32" s="791">
        <f>Штатное!L29</f>
        <v>28807.8</v>
      </c>
      <c r="G32" s="532">
        <f>Штатное!AR29-F32</f>
        <v>8699.955599999998</v>
      </c>
      <c r="H32" s="539">
        <f>Штатное!AT29</f>
        <v>37507.7556</v>
      </c>
      <c r="I32" s="566"/>
      <c r="J32" s="917"/>
    </row>
    <row r="33" spans="1:10" ht="15.75" customHeight="1">
      <c r="A33" s="534" t="s">
        <v>59</v>
      </c>
      <c r="B33" s="932" t="s">
        <v>416</v>
      </c>
      <c r="C33" s="933"/>
      <c r="D33" s="934"/>
      <c r="E33" s="790">
        <v>5</v>
      </c>
      <c r="F33" s="791">
        <f>Штатное!L30</f>
        <v>20577</v>
      </c>
      <c r="G33" s="532">
        <f>Штатное!AR30-F33</f>
        <v>6214.253999999997</v>
      </c>
      <c r="H33" s="539">
        <f>Штатное!AT30</f>
        <v>26791.253999999997</v>
      </c>
      <c r="I33" s="566"/>
      <c r="J33" s="917"/>
    </row>
    <row r="34" spans="1:10" ht="15.75" customHeight="1">
      <c r="A34" s="534" t="s">
        <v>60</v>
      </c>
      <c r="B34" s="921" t="s">
        <v>417</v>
      </c>
      <c r="C34" s="922"/>
      <c r="D34" s="923"/>
      <c r="E34" s="790">
        <v>6</v>
      </c>
      <c r="F34" s="791">
        <f>Штатное!L31</f>
        <v>24692.4</v>
      </c>
      <c r="G34" s="532">
        <f>Штатное!AR31-F34</f>
        <v>7457.104800000001</v>
      </c>
      <c r="H34" s="539">
        <f>Штатное!AT31</f>
        <v>32149.504800000002</v>
      </c>
      <c r="I34" s="566"/>
      <c r="J34" s="917"/>
    </row>
    <row r="35" spans="1:10" ht="15.75" customHeight="1" thickBot="1">
      <c r="A35" s="535" t="s">
        <v>61</v>
      </c>
      <c r="B35" s="950" t="s">
        <v>62</v>
      </c>
      <c r="C35" s="951"/>
      <c r="D35" s="952"/>
      <c r="E35" s="792">
        <v>1</v>
      </c>
      <c r="F35" s="793">
        <f>Штатное!L32</f>
        <v>9855.3</v>
      </c>
      <c r="G35" s="538">
        <f>Штатное!AR32-F35</f>
        <v>2976.3006000000005</v>
      </c>
      <c r="H35" s="540">
        <f>Штатное!AT32</f>
        <v>12831.6006</v>
      </c>
      <c r="I35" s="567"/>
      <c r="J35" s="917"/>
    </row>
    <row r="36" spans="1:10" ht="15.75" customHeight="1" thickBot="1">
      <c r="A36" s="536"/>
      <c r="B36" s="941"/>
      <c r="C36" s="942"/>
      <c r="D36" s="942"/>
      <c r="E36" s="794">
        <f>SUM(E15:E35)</f>
        <v>54</v>
      </c>
      <c r="F36" s="795">
        <f>Штатное!L33</f>
        <v>601498.2000000002</v>
      </c>
      <c r="G36" s="545">
        <f>Штатное!AR33-F36</f>
        <v>181652.4563999999</v>
      </c>
      <c r="H36" s="541">
        <f>Штатное!AT33</f>
        <v>783150.6564000001</v>
      </c>
      <c r="I36" s="542"/>
      <c r="J36" s="917"/>
    </row>
    <row r="37" spans="6:8" ht="15.75">
      <c r="F37" s="546" t="s">
        <v>421</v>
      </c>
      <c r="G37" s="947">
        <f>H36*12</f>
        <v>9397807.8768</v>
      </c>
      <c r="H37" s="947"/>
    </row>
  </sheetData>
  <sheetProtection/>
  <mergeCells count="46">
    <mergeCell ref="G4:G6"/>
    <mergeCell ref="H4:H6"/>
    <mergeCell ref="I4:I6"/>
    <mergeCell ref="J4:J6"/>
    <mergeCell ref="G11:H11"/>
    <mergeCell ref="A2:J2"/>
    <mergeCell ref="A3:J3"/>
    <mergeCell ref="A6:B6"/>
    <mergeCell ref="A7:B7"/>
    <mergeCell ref="A8:B8"/>
    <mergeCell ref="B36:D36"/>
    <mergeCell ref="G13:G14"/>
    <mergeCell ref="I17:I18"/>
    <mergeCell ref="I13:I14"/>
    <mergeCell ref="G37:H37"/>
    <mergeCell ref="H13:H14"/>
    <mergeCell ref="B27:D27"/>
    <mergeCell ref="B28:D28"/>
    <mergeCell ref="B29:D29"/>
    <mergeCell ref="B35:D35"/>
    <mergeCell ref="B16:D16"/>
    <mergeCell ref="B17:D17"/>
    <mergeCell ref="B18:D18"/>
    <mergeCell ref="B19:D19"/>
    <mergeCell ref="B20:D20"/>
    <mergeCell ref="B21:D21"/>
    <mergeCell ref="A13:A14"/>
    <mergeCell ref="A9:B9"/>
    <mergeCell ref="A10:B10"/>
    <mergeCell ref="B15:D15"/>
    <mergeCell ref="B33:D33"/>
    <mergeCell ref="B34:D34"/>
    <mergeCell ref="B13:D14"/>
    <mergeCell ref="B30:D30"/>
    <mergeCell ref="B31:D31"/>
    <mergeCell ref="B32:D32"/>
    <mergeCell ref="E13:E14"/>
    <mergeCell ref="A4:B5"/>
    <mergeCell ref="J13:J36"/>
    <mergeCell ref="B23:D23"/>
    <mergeCell ref="B24:D24"/>
    <mergeCell ref="B25:D25"/>
    <mergeCell ref="B26:D26"/>
    <mergeCell ref="B22:D22"/>
    <mergeCell ref="C4:E4"/>
    <mergeCell ref="F13:F14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2019-04-06T03:45:31Z</cp:lastPrinted>
  <dcterms:created xsi:type="dcterms:W3CDTF">1996-10-09T02:32:33Z</dcterms:created>
  <dcterms:modified xsi:type="dcterms:W3CDTF">2019-04-06T04:24:05Z</dcterms:modified>
  <cp:category/>
  <cp:version/>
  <cp:contentType/>
  <cp:contentStatus/>
  <cp:revision>33</cp:revision>
</cp:coreProperties>
</file>