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6375" windowHeight="5580" firstSheet="3" activeTab="8"/>
  </bookViews>
  <sheets>
    <sheet name="Обложка" sheetId="1" r:id="rId1"/>
    <sheet name="метраж" sheetId="2" r:id="rId2"/>
    <sheet name="Лист2" sheetId="3" r:id="rId3"/>
    <sheet name="Штатное" sheetId="4" r:id="rId4"/>
    <sheet name="См_доход" sheetId="5" r:id="rId5"/>
    <sheet name="Проект бюдж" sheetId="6" r:id="rId6"/>
    <sheet name="См расх" sheetId="7" r:id="rId7"/>
    <sheet name="Отчет " sheetId="8" r:id="rId8"/>
    <sheet name="См затрат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<sst xmlns="http://schemas.openxmlformats.org/spreadsheetml/2006/main" count="487" uniqueCount="373">
  <si>
    <t>ТСЖ «Кировское-2»</t>
  </si>
  <si>
    <t>Проект сметы</t>
  </si>
  <si>
    <t>поступлений и затрат</t>
  </si>
  <si>
    <t>на управление и содержание многоквартирных домов</t>
  </si>
  <si>
    <t>на 2018 год</t>
  </si>
  <si>
    <t>Утверждена общим собранием  членов ТСЖ</t>
  </si>
  <si>
    <t>Протокол №                от</t>
  </si>
  <si>
    <t>« ____ »_______ 2018</t>
  </si>
  <si>
    <t>гор. Самара</t>
  </si>
  <si>
    <t>Информация</t>
  </si>
  <si>
    <t>для расчета сметы на 2018 г.</t>
  </si>
  <si>
    <t>Площадь (м2)</t>
  </si>
  <si>
    <t>Количество</t>
  </si>
  <si>
    <t>жилые</t>
  </si>
  <si>
    <t>нежил.</t>
  </si>
  <si>
    <t>общая</t>
  </si>
  <si>
    <t>лифтов</t>
  </si>
  <si>
    <t>помещ.</t>
  </si>
  <si>
    <t>площадь</t>
  </si>
  <si>
    <t xml:space="preserve"> (шт)</t>
  </si>
  <si>
    <t>ул. Минская, 25</t>
  </si>
  <si>
    <t>ул. Нагорная.143</t>
  </si>
  <si>
    <t>ул. Кромская,4</t>
  </si>
  <si>
    <t>ул. Ставропольская, 204</t>
  </si>
  <si>
    <t>ул. Ставропольская, 202</t>
  </si>
  <si>
    <t>Итого:</t>
  </si>
  <si>
    <t>Товарищество собственников жилья "Кировское-2"</t>
  </si>
  <si>
    <t>ШТАТНОЕ РАСПИСАНИЕ</t>
  </si>
  <si>
    <t>№№</t>
  </si>
  <si>
    <t>Наименование</t>
  </si>
  <si>
    <t>Кол-во</t>
  </si>
  <si>
    <t>п/п</t>
  </si>
  <si>
    <t>должности</t>
  </si>
  <si>
    <t>шт.единиц</t>
  </si>
  <si>
    <t>1.</t>
  </si>
  <si>
    <t>Председатель правления</t>
  </si>
  <si>
    <t>2.</t>
  </si>
  <si>
    <t>Управляющий</t>
  </si>
  <si>
    <t>3.</t>
  </si>
  <si>
    <t>Бухгалтер (возможен договор обслуживания)</t>
  </si>
  <si>
    <t>4.</t>
  </si>
  <si>
    <t>5.</t>
  </si>
  <si>
    <t>Паспортист</t>
  </si>
  <si>
    <t>6.</t>
  </si>
  <si>
    <t>Юрист (возможен договор обслуживания)</t>
  </si>
  <si>
    <t>7.</t>
  </si>
  <si>
    <t xml:space="preserve">Слесарь-сантехник </t>
  </si>
  <si>
    <t>8.</t>
  </si>
  <si>
    <t>9.</t>
  </si>
  <si>
    <t>Слесарь-сантехник с совмещ. профес. электросварщик ручной сварки</t>
  </si>
  <si>
    <t>10.</t>
  </si>
  <si>
    <t>Электромонтер по рем.и обслуж.эл.оборудования</t>
  </si>
  <si>
    <t>11.</t>
  </si>
  <si>
    <t>Дворник (ул. Минская, 25)</t>
  </si>
  <si>
    <t>12.</t>
  </si>
  <si>
    <t>Дворник (ул.Нагорная, 143)</t>
  </si>
  <si>
    <t>13.</t>
  </si>
  <si>
    <t>Дворник (ул.Кромская, 4)</t>
  </si>
  <si>
    <t>14.</t>
  </si>
  <si>
    <t>Дворник (ул.Ставропольская, 204)</t>
  </si>
  <si>
    <t>15.</t>
  </si>
  <si>
    <t>Дворник (ул.Ставропольская, 202)</t>
  </si>
  <si>
    <t>16.</t>
  </si>
  <si>
    <t>Уборщик служ.помещ.(лестн. клеток ж.д.ул. Минская)</t>
  </si>
  <si>
    <t>17.</t>
  </si>
  <si>
    <t>Уборщик служ.помещ.(лестн. клеток ж.д.ул. Нагорная)</t>
  </si>
  <si>
    <t>18.</t>
  </si>
  <si>
    <t>Уборщик служ.помещ.(лестн. клеток ж.д.ул. Кромская)</t>
  </si>
  <si>
    <t>19.</t>
  </si>
  <si>
    <t>Уборщик служ.помещ.(лестн. клеток ж.д.ул. Ставроп.,204)</t>
  </si>
  <si>
    <t>20.</t>
  </si>
  <si>
    <t>Уборщик служ.помещ.( лестн. клеток ж.д.ул. Ставроп.,202)</t>
  </si>
  <si>
    <t>21.</t>
  </si>
  <si>
    <t>Уборщик подсобных помещений</t>
  </si>
  <si>
    <t>Г.В.Андрющенко</t>
  </si>
  <si>
    <t xml:space="preserve">Бухгалтер </t>
  </si>
  <si>
    <t>_______________</t>
  </si>
  <si>
    <t>Номер документа</t>
  </si>
  <si>
    <t>Дата составления</t>
  </si>
  <si>
    <t>Дата внесения изменений</t>
  </si>
  <si>
    <t>06.12.2016 г.</t>
  </si>
  <si>
    <t>УТВЕРЖДЕНО:</t>
  </si>
  <si>
    <t>протоколом общего собрания  членов ТСЖ</t>
  </si>
  <si>
    <t>на 2017 - 2018 год</t>
  </si>
  <si>
    <t xml:space="preserve">от  « _16_ »_02_ 2017. № _1_        </t>
  </si>
  <si>
    <t xml:space="preserve">штат в количестве </t>
  </si>
  <si>
    <t>человек.</t>
  </si>
  <si>
    <t xml:space="preserve">Должностной оклад </t>
  </si>
  <si>
    <t>ФОТ</t>
  </si>
  <si>
    <t xml:space="preserve">Резерв на </t>
  </si>
  <si>
    <t>Итого</t>
  </si>
  <si>
    <t>В договор</t>
  </si>
  <si>
    <t>экономия</t>
  </si>
  <si>
    <t>шт.</t>
  </si>
  <si>
    <t>Управление</t>
  </si>
  <si>
    <t>уборка</t>
  </si>
  <si>
    <t>то</t>
  </si>
  <si>
    <t>всего</t>
  </si>
  <si>
    <t>за месяц</t>
  </si>
  <si>
    <t>отпуск (8,3%)</t>
  </si>
  <si>
    <t>единиц</t>
  </si>
  <si>
    <t>жил. помещ.</t>
  </si>
  <si>
    <t>нежил. помещ.</t>
  </si>
  <si>
    <t>конт.площ.</t>
  </si>
  <si>
    <t>электрообор.</t>
  </si>
  <si>
    <t>Юрист</t>
  </si>
  <si>
    <t>Уборщик служ.пом.(лест. кл. ж.д.ул. Минская)</t>
  </si>
  <si>
    <t>Уборщик служ.пом.(лест. кл. ж.д.ул. Нагорная)</t>
  </si>
  <si>
    <t>Уборщик служ.пом.(лест. кл. ж.д.ул. Кромская)</t>
  </si>
  <si>
    <t>Уборщик служ.пом.(лест. кл. ж.д.ул Ставроп.,204)</t>
  </si>
  <si>
    <t>Уборщик служ.пом.(лест. кл. ж.д.ул. Ставроп.,202)</t>
  </si>
  <si>
    <t>Расчет к проекту сметы доходов</t>
  </si>
  <si>
    <t>Статьи поступлений</t>
  </si>
  <si>
    <t>Тариф (руб/кв.м)</t>
  </si>
  <si>
    <t>Площадь</t>
  </si>
  <si>
    <t>Планируемое начисление</t>
  </si>
  <si>
    <t>членских взносов</t>
  </si>
  <si>
    <t>(кв.м.)</t>
  </si>
  <si>
    <t>в месяц</t>
  </si>
  <si>
    <t>за год</t>
  </si>
  <si>
    <t>Содержание общего имущества дома</t>
  </si>
  <si>
    <t>Лифты</t>
  </si>
  <si>
    <t>2017</t>
  </si>
  <si>
    <t>жилой фонд</t>
  </si>
  <si>
    <t>обслуживание</t>
  </si>
  <si>
    <t xml:space="preserve">в мес </t>
  </si>
  <si>
    <t>Фонд оплаты труда персонала</t>
  </si>
  <si>
    <t>экспертиза</t>
  </si>
  <si>
    <t>в год</t>
  </si>
  <si>
    <t>Страховые взносы на фонд оплаты труда</t>
  </si>
  <si>
    <t>Содержание и ремонт лифтов (ул.Минская,25)</t>
  </si>
  <si>
    <t>Содержание и ремонт лифтов (ул.Нагорная,143)</t>
  </si>
  <si>
    <t>Содержание и ремонт лифтов (ул.Кромская,4)</t>
  </si>
  <si>
    <t>Содержание и ремонт лифтов (ул.Ставроп,204)</t>
  </si>
  <si>
    <t>Содержание и ремонт лифтов (ул.Ставроп,202)</t>
  </si>
  <si>
    <t>ТО и тек.ремонт эл.оборудования</t>
  </si>
  <si>
    <t>Вывоз ТБО и крупногабаритного мусора</t>
  </si>
  <si>
    <t>Текущий ремонт общего имущества</t>
  </si>
  <si>
    <t>Прочие расходы</t>
  </si>
  <si>
    <t>нежилой фонд</t>
  </si>
  <si>
    <t>Повышение</t>
  </si>
  <si>
    <t>Вывоз ТБО и уборка контейнерных площадок</t>
  </si>
  <si>
    <t>по норме</t>
  </si>
  <si>
    <t>КГМ и снег</t>
  </si>
  <si>
    <t>лифты</t>
  </si>
  <si>
    <t>ВДГО</t>
  </si>
  <si>
    <t>МУСОР</t>
  </si>
  <si>
    <t>мусор нужно в мес</t>
  </si>
  <si>
    <t>Коммунальные услуги</t>
  </si>
  <si>
    <t>Фактические затраты</t>
  </si>
  <si>
    <t>Электроэнергия МОП</t>
  </si>
  <si>
    <t>по приборам учета</t>
  </si>
  <si>
    <t>Прочие услуги</t>
  </si>
  <si>
    <t>Обслуживание ВДГО</t>
  </si>
  <si>
    <t>Обслуживание системы видеонаблюдения</t>
  </si>
  <si>
    <t>Прочие поступления</t>
  </si>
  <si>
    <t>Аренда подсобного помещения</t>
  </si>
  <si>
    <t>Размещение оборудования</t>
  </si>
  <si>
    <t>Размещение вытяжных труб и рекламы на фасадах</t>
  </si>
  <si>
    <t>Техобслуживание оборудования</t>
  </si>
  <si>
    <t>Проект бюджета поступлений денежных средств на 2018 год.</t>
  </si>
  <si>
    <t>(жилой фонд)</t>
  </si>
  <si>
    <t>ул.Нагорная, 143</t>
  </si>
  <si>
    <t>ул. Кромская, 4</t>
  </si>
  <si>
    <t>ул. Ставропольская,204</t>
  </si>
  <si>
    <t>ул. Ставропольская,202</t>
  </si>
  <si>
    <t>(нежилой фонд)</t>
  </si>
  <si>
    <t>вывоз ТБО и уборка контейнерных площадок</t>
  </si>
  <si>
    <t>Планируемое начисление (с учетом повышения 2,5%)</t>
  </si>
  <si>
    <t>в том числе:</t>
  </si>
  <si>
    <t>Коммерческая деятельность</t>
  </si>
  <si>
    <t>Проект сметы расходов</t>
  </si>
  <si>
    <t>Планируемые расходы</t>
  </si>
  <si>
    <t>Содержание персонала</t>
  </si>
  <si>
    <t>Содержание и ремонт лифтов с учетом страхования</t>
  </si>
  <si>
    <t>и освидетельствования</t>
  </si>
  <si>
    <t>Вывоз ТБО и крупногабаритного мусора, контейн.площ.</t>
  </si>
  <si>
    <t>ремонт подъездов</t>
  </si>
  <si>
    <t>ремонт контейнерных площадок</t>
  </si>
  <si>
    <t>ремонт асфальтового покрытия</t>
  </si>
  <si>
    <t>прочие работы по технич.содержанию общего имущества</t>
  </si>
  <si>
    <t>Итого содержание общего имущества:</t>
  </si>
  <si>
    <t>Отопление</t>
  </si>
  <si>
    <t>ИТОГО:</t>
  </si>
  <si>
    <t>РСО : Поставщики</t>
  </si>
  <si>
    <t>Оказанные услуги</t>
  </si>
  <si>
    <t>Оплата за услуги (руб)</t>
  </si>
  <si>
    <t>ОАО «Предприятие тепловых сетей»</t>
  </si>
  <si>
    <t>теплоэнергия</t>
  </si>
  <si>
    <t>ООО «Самарские коммунальные системы»</t>
  </si>
  <si>
    <t>водоснабжение</t>
  </si>
  <si>
    <t>АО «Самарагорэнергосбыт»</t>
  </si>
  <si>
    <t>электроэнергия МОП</t>
  </si>
  <si>
    <t>ООО «СВГК»</t>
  </si>
  <si>
    <t>ТО ВДГО</t>
  </si>
  <si>
    <t>ООО «Лифтремонт»</t>
  </si>
  <si>
    <t>ТО лифтов</t>
  </si>
  <si>
    <t>Ф-л ООО СК «ВТБ Страхование» г. Самара</t>
  </si>
  <si>
    <t>страхование лифтов</t>
  </si>
  <si>
    <t>ООО ИЦ «Экспертлифт»</t>
  </si>
  <si>
    <t>освидетельствование лифтов</t>
  </si>
  <si>
    <t xml:space="preserve">ООО "Снаблифт"  </t>
  </si>
  <si>
    <t>оборудование для лифтов</t>
  </si>
  <si>
    <t>ООО «Практика»</t>
  </si>
  <si>
    <t>вывоз ТБО</t>
  </si>
  <si>
    <t>ООО "ТК ОЛИМП"</t>
  </si>
  <si>
    <t>Ремонт под. 2 ул. Нагорная, д.143</t>
  </si>
  <si>
    <t>Ремонт под. 5 ул. Минская, д.25</t>
  </si>
  <si>
    <t>ООО "Волга-Сервис"</t>
  </si>
  <si>
    <t>Ремонт подъезда по ул. Нагорная, д.143, под.1</t>
  </si>
  <si>
    <t>Ремонт подъезда по ул. Нагорная, д.143. под.2</t>
  </si>
  <si>
    <t>Ремонт подъезда по ул. Нагорная, д.143, под.З</t>
  </si>
  <si>
    <t>Ремонт подъезда по ул. Нагорная, д.143. под.4</t>
  </si>
  <si>
    <t>Ремонт подъезда по ул. Нагорная, д.143. под.6</t>
  </si>
  <si>
    <t>Ремонт подъезда по ул. Ставропольская, д.202. под.З</t>
  </si>
  <si>
    <t>Ремонт и покраска стен в арке по ул. Ставропольская, д.202</t>
  </si>
  <si>
    <t>ООО «Поволжский ППТ»</t>
  </si>
  <si>
    <t>Абонентское обслуживание приборов тепловой автоматики</t>
  </si>
  <si>
    <t xml:space="preserve">Сантехническое оборудование </t>
  </si>
  <si>
    <t>Текущий ремонт водопровода</t>
  </si>
  <si>
    <t xml:space="preserve">Текущии ремонт тепловой сети </t>
  </si>
  <si>
    <t>Текущии ремонт тепловой сети с заменой участка тр/пр</t>
  </si>
  <si>
    <t>МП г. Самара "ГАТИ по благоустр"</t>
  </si>
  <si>
    <t>Разрешение на ремонтные работы</t>
  </si>
  <si>
    <t>ООО "ЛЕГИОН"</t>
  </si>
  <si>
    <t>Труба черн. 159*6,0 б/ш</t>
  </si>
  <si>
    <t>АО "Железобетон"Плиты канальные</t>
  </si>
  <si>
    <t>Плиты канальные</t>
  </si>
  <si>
    <t>ООО «Спектр-С»</t>
  </si>
  <si>
    <t>Дератизация</t>
  </si>
  <si>
    <t xml:space="preserve">ООО «Собственная безопасность»                 </t>
  </si>
  <si>
    <t>ТО видеонаблюдения на улице</t>
  </si>
  <si>
    <t>ТО видеонаблюдения в подъездах</t>
  </si>
  <si>
    <t xml:space="preserve">ООО «Сервер»                                                                                                                                                                                           </t>
  </si>
  <si>
    <t>Обновление программного обеспечения, лицензии на ПО, Электронная отчетность,  информационно-вычислительные услуги, обслуживание сайта ТСЖ, Продление модуля ЖКХ</t>
  </si>
  <si>
    <t xml:space="preserve">ООО "Компания "Тензор" </t>
  </si>
  <si>
    <t xml:space="preserve"> ООО «1С-Битрикс»</t>
  </si>
  <si>
    <t xml:space="preserve"> ООО «СМП»</t>
  </si>
  <si>
    <t xml:space="preserve"> ООО студия «Варнофф»</t>
  </si>
  <si>
    <t>ООО «Варнофф»</t>
  </si>
  <si>
    <t>ООО "Тиражные решения 1С-Рарус"</t>
  </si>
  <si>
    <t>ООО «Интеграл Плюс»</t>
  </si>
  <si>
    <t>ТО домофонов</t>
  </si>
  <si>
    <t xml:space="preserve">ООО ЧОП «Церера»                                             </t>
  </si>
  <si>
    <t>Охранная сигнализация</t>
  </si>
  <si>
    <t xml:space="preserve"> Ф-л ФГУП «Охрана» МВД РФ по С/обл.</t>
  </si>
  <si>
    <t xml:space="preserve">ООО "САМАРАТРЕЙДГРУПП"                      </t>
  </si>
  <si>
    <t>Уборка снега и вывоз снега</t>
  </si>
  <si>
    <t>ИП Коротенков С.Н.</t>
  </si>
  <si>
    <t>ООО «ТД «Волгаэлектросбыт»</t>
  </si>
  <si>
    <t>Электрооборудование</t>
  </si>
  <si>
    <t>ООО "ТД "Волгаэлектросбыт"  Электрооборудование</t>
  </si>
  <si>
    <t xml:space="preserve">ООО "Рег орган оценки соответствия" </t>
  </si>
  <si>
    <t xml:space="preserve"> Испытание электроустановок</t>
  </si>
  <si>
    <t>ООО «Деловые линии»</t>
  </si>
  <si>
    <t>Доставка материалов</t>
  </si>
  <si>
    <t>ООО "АкваЦентр"</t>
  </si>
  <si>
    <t xml:space="preserve">ООО "Охта" </t>
  </si>
  <si>
    <t xml:space="preserve"> Краны шаровые</t>
  </si>
  <si>
    <t xml:space="preserve">ООО "МАКСИ" </t>
  </si>
  <si>
    <t>Елочные украшения</t>
  </si>
  <si>
    <t xml:space="preserve">ЗАО "Террамарк" </t>
  </si>
  <si>
    <t>Сведения из ЕГРП</t>
  </si>
  <si>
    <t>ООО "СПТК"</t>
  </si>
  <si>
    <t>Концентрат минеральный (соль)</t>
  </si>
  <si>
    <t>ООО «Инфолада»</t>
  </si>
  <si>
    <t>интернет в офис, услуги связи,</t>
  </si>
  <si>
    <t>Почта России</t>
  </si>
  <si>
    <t>ПАО «ВымпелКом»</t>
  </si>
  <si>
    <t xml:space="preserve">НОЧУ ОДПО "Актион-МЦФЭР"                                                                                                  </t>
  </si>
  <si>
    <t>Обучение и переподготовка персонала</t>
  </si>
  <si>
    <t xml:space="preserve">ООО "Бюро бухгалтерской информации" </t>
  </si>
  <si>
    <t>ООО «ЦДО «Промэнергобезопасность»</t>
  </si>
  <si>
    <t>ООО «ЦДО «АКАТО»</t>
  </si>
  <si>
    <t>ООО «ПрофИнформ»</t>
  </si>
  <si>
    <t xml:space="preserve">ООО "МЦФЭР-пресс"  </t>
  </si>
  <si>
    <t>Подписка 15 мес на электр. журнал</t>
  </si>
  <si>
    <t xml:space="preserve">ООО ИП «Управление ЖКХ» </t>
  </si>
  <si>
    <t>Абонент информац-консул обслуж</t>
  </si>
  <si>
    <t>ООО «ПРАВО И ЖКХ»</t>
  </si>
  <si>
    <t>Юр. услуги (суд по Кромская, 4)</t>
  </si>
  <si>
    <t>ООО «Ресурс Поволжья»</t>
  </si>
  <si>
    <t>Заправка картриджей</t>
  </si>
  <si>
    <t xml:space="preserve">Поволжский банк СБ РФ                             </t>
  </si>
  <si>
    <t>услуги и комиссия банка</t>
  </si>
  <si>
    <t>ООО "Эксперт-Центр"</t>
  </si>
  <si>
    <t>Оформление схемы ЗУ</t>
  </si>
  <si>
    <t>ООО «Профессионал» Хоз инвентарь</t>
  </si>
  <si>
    <t>Прочие расходы (инвентарь, хоз товары, спецодежда, охрана труда и проч.)</t>
  </si>
  <si>
    <t>ООО «ПрофТекс»  Хоз инвентарь</t>
  </si>
  <si>
    <t>ООО "Торг  Комп "Аверс" Спецодежда</t>
  </si>
  <si>
    <t xml:space="preserve">ИП Шпенглер. </t>
  </si>
  <si>
    <t>Урны и ящик почтовый</t>
  </si>
  <si>
    <t xml:space="preserve">ООО "Строй-К". </t>
  </si>
  <si>
    <t>Щетинистое покрытие</t>
  </si>
  <si>
    <t>ООО фирма "Свет"</t>
  </si>
  <si>
    <t>Замена окон в подъездах</t>
  </si>
  <si>
    <t>ООО "Группа Комп "Сильные Решения"</t>
  </si>
  <si>
    <t>Щебень гранитный</t>
  </si>
  <si>
    <t>ТСЖ "Кировское - 2"</t>
  </si>
  <si>
    <t>Бизнес-счет</t>
  </si>
  <si>
    <t>Прочие расходы на содержание общего имущества ТСЖ</t>
  </si>
  <si>
    <t>Наименование работ</t>
  </si>
  <si>
    <t>Содержание персонала (с учетом страховых взносов)</t>
  </si>
  <si>
    <t>Возмещение собственникам затрат по заливам и по прочим решениям суда</t>
  </si>
  <si>
    <t>Налог по УСН, госпошлины, прочие налоги и сборы</t>
  </si>
  <si>
    <t xml:space="preserve">Итого израсходовано на содержание общего имущества ТСЖ «Кировское-2» и оплату коммунальных услуг - </t>
  </si>
  <si>
    <t>-</t>
  </si>
  <si>
    <t>ВСЕГО:</t>
  </si>
  <si>
    <t>Содержание  (ул.Минская,25)</t>
  </si>
  <si>
    <t>руб/м2</t>
  </si>
  <si>
    <t>Содержание  (ул.Нагорная,143)</t>
  </si>
  <si>
    <t>Содержание  (ул.Кромская,4)</t>
  </si>
  <si>
    <t>Содержание  (ул.Став-ая, 204)</t>
  </si>
  <si>
    <t>Андрющенко Г.В.</t>
  </si>
  <si>
    <t>Содержание  (ул.Став-ая, 202)</t>
  </si>
  <si>
    <t>нежилые</t>
  </si>
  <si>
    <t xml:space="preserve">К выдаче </t>
  </si>
  <si>
    <t>с газом</t>
  </si>
  <si>
    <t>ремонт тепловых камер, промывка рыданов</t>
  </si>
  <si>
    <t>замена покрытия на Детской площ. Ставропольская 202-204</t>
  </si>
  <si>
    <t>(материалы для тех.службы, и проч.)</t>
  </si>
  <si>
    <r>
      <t xml:space="preserve">на </t>
    </r>
    <r>
      <rPr>
        <b/>
        <sz val="13"/>
        <color indexed="8"/>
        <rFont val="Times New Roman"/>
        <family val="1"/>
      </rPr>
      <t>2018</t>
    </r>
    <r>
      <rPr>
        <sz val="13"/>
        <color indexed="8"/>
        <rFont val="Times New Roman"/>
        <family val="1"/>
      </rPr>
      <t xml:space="preserve"> год.</t>
    </r>
  </si>
  <si>
    <t>Праздничные мероприятия</t>
  </si>
  <si>
    <t xml:space="preserve">Расходы  за  2017 г.                                                                  </t>
  </si>
  <si>
    <t>Приложение №_____</t>
  </si>
  <si>
    <t>Страх.взносы</t>
  </si>
  <si>
    <t>Страх.взносы на 8,3%</t>
  </si>
  <si>
    <t>Резерв из прошлого периода</t>
  </si>
  <si>
    <t>резерв на обор</t>
  </si>
  <si>
    <r>
      <t xml:space="preserve">на </t>
    </r>
    <r>
      <rPr>
        <b/>
        <sz val="11"/>
        <color indexed="8"/>
        <rFont val="Times New Roman"/>
        <family val="1"/>
      </rPr>
      <t>2018</t>
    </r>
    <r>
      <rPr>
        <sz val="11"/>
        <color indexed="8"/>
        <rFont val="Times New Roman"/>
        <family val="1"/>
      </rPr>
      <t xml:space="preserve"> год.</t>
    </r>
  </si>
  <si>
    <t>Прочее по авансовым отчетам</t>
  </si>
  <si>
    <t>Всего вместе с ПЕНИ</t>
  </si>
  <si>
    <t>Резерв из прошлых периодов:</t>
  </si>
  <si>
    <t>резерв на отпуска</t>
  </si>
  <si>
    <t>вывоз снега</t>
  </si>
  <si>
    <t>контейнерные площадки</t>
  </si>
  <si>
    <t>Непредвиденные затраты</t>
  </si>
  <si>
    <t>ТСЖ  "Кировское-2"</t>
  </si>
  <si>
    <t xml:space="preserve">Смета затрат </t>
  </si>
  <si>
    <t>на управление и эксплуатацию домовладения ТСЖ "Кировское-2"</t>
  </si>
  <si>
    <t xml:space="preserve">на 2018 год </t>
  </si>
  <si>
    <t>утвержденный размер платы</t>
  </si>
  <si>
    <t>Статьи</t>
  </si>
  <si>
    <t>с 1 м2</t>
  </si>
  <si>
    <t>затрат</t>
  </si>
  <si>
    <t>ул. Ставропольская</t>
  </si>
  <si>
    <t>помещения</t>
  </si>
  <si>
    <t>1. Содержание и ремонт домовладения</t>
  </si>
  <si>
    <t xml:space="preserve">   и придомовой территории:</t>
  </si>
  <si>
    <r>
      <t xml:space="preserve">ФОТ персонала </t>
    </r>
    <r>
      <rPr>
        <i/>
        <sz val="9"/>
        <rFont val="Arial"/>
        <family val="2"/>
      </rPr>
      <t>(с учетом страховых взносов)</t>
    </r>
  </si>
  <si>
    <t>обслуживание и ремонт лифтового хозяйства</t>
  </si>
  <si>
    <t>обслуживание эл.оборудования</t>
  </si>
  <si>
    <t>Текущий ремонт</t>
  </si>
  <si>
    <t>прочие расходы</t>
  </si>
  <si>
    <t>2. Домофон</t>
  </si>
  <si>
    <t>3. ВДГО</t>
  </si>
  <si>
    <t>4. Видеонаблюдение</t>
  </si>
  <si>
    <t>5. Электроэнергия МОП</t>
  </si>
  <si>
    <t>по показаниям общедомовых приборов учета</t>
  </si>
  <si>
    <t>6. Коммунальные услуги</t>
  </si>
  <si>
    <t>ГВС</t>
  </si>
  <si>
    <t>Водоотведение</t>
  </si>
  <si>
    <t>ХВС</t>
  </si>
  <si>
    <t xml:space="preserve">Председатель правления </t>
  </si>
  <si>
    <t>Ремонт подъезда по ул. Минская, д.25. под.6</t>
  </si>
  <si>
    <t>Ограждения и ремонт детс.площадок, мелкий ремонт в подъездах</t>
  </si>
  <si>
    <t>Канц.товары, оргтехника, ее обслуживание</t>
  </si>
  <si>
    <t>Прочее, материалы, сантех, расходные</t>
  </si>
  <si>
    <t>2017 г.</t>
  </si>
  <si>
    <t>2018 г.</t>
  </si>
  <si>
    <t xml:space="preserve">Резерв на капитальный ремонт </t>
  </si>
  <si>
    <t>ПРОЕКТ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</si>
</sst>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.00&quot;   &quot;;&quot;-&quot;#,##0.00&quot;   &quot;;&quot; -&quot;00&quot;   &quot;;&quot; &quot;@&quot; &quot;"/>
    <numFmt numFmtId="173" formatCode="#,##0.0"/>
    <numFmt numFmtId="174" formatCode="&quot; &quot;#,##0&quot;   &quot;;&quot;-&quot;#,##0&quot;   &quot;;&quot; -&quot;00&quot;   &quot;;&quot; &quot;@&quot; &quot;"/>
    <numFmt numFmtId="175" formatCode="&quot; &quot;#,##0.0&quot;   &quot;;&quot;-&quot;#,##0.0&quot;   &quot;;&quot; -&quot;00&quot;   &quot;;&quot; &quot;@&quot; &quot;"/>
    <numFmt numFmtId="176" formatCode="&quot; &quot;#,##0.0&quot;   &quot;;&quot;-&quot;#,##0.0&quot;   &quot;;&quot; -&quot;0&quot;   &quot;;&quot; &quot;@&quot; &quot;"/>
    <numFmt numFmtId="177" formatCode="0.000"/>
    <numFmt numFmtId="178" formatCode="&quot; &quot;#,##0.00&quot;   &quot;;&quot;-&quot;#,##0.00&quot;   &quot;;&quot; -&quot;00.00&quot;   &quot;;&quot; &quot;@&quot; &quot;"/>
    <numFmt numFmtId="179" formatCode="#,##0.00&quot; &quot;[$руб.-419];[Red]&quot;-&quot;#,##0.00&quot; &quot;[$руб.-419]"/>
    <numFmt numFmtId="180" formatCode="dd&quot;.&quot;mm&quot;.&quot;yyyy"/>
    <numFmt numFmtId="181" formatCode="0.00000"/>
    <numFmt numFmtId="182" formatCode="0.0000"/>
    <numFmt numFmtId="183" formatCode="&quot; &quot;#,##0.0&quot;   &quot;;&quot;-&quot;#,##0.0&quot;   &quot;;&quot; -&quot;00.0&quot;   &quot;;&quot; &quot;@&quot; &quot;"/>
    <numFmt numFmtId="184" formatCode="&quot; &quot;#,##0.00&quot;   &quot;;&quot;-&quot;#,##0.00&quot;   &quot;;&quot; -&quot;00.0&quot;   &quot;;&quot; &quot;@&quot; &quot;"/>
    <numFmt numFmtId="185" formatCode="[$-FC19]d\ mmmm\ yyyy\ &quot;г.&quot;"/>
  </numFmts>
  <fonts count="81">
    <font>
      <sz val="11"/>
      <color rgb="FF000000"/>
      <name val="Arial1"/>
      <family val="0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36"/>
      <color rgb="FF000000"/>
      <name val="Times New Roman"/>
      <family val="1"/>
    </font>
    <font>
      <b/>
      <sz val="10"/>
      <color rgb="FF000000"/>
      <name val="Times New Roman"/>
      <family val="1"/>
    </font>
    <font>
      <sz val="13"/>
      <color rgb="FF000000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/>
    </border>
    <border>
      <left style="medium"/>
      <right style="medium">
        <color rgb="FF000000"/>
      </right>
      <top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/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46" fillId="0" borderId="0" applyBorder="0" applyProtection="0">
      <alignment/>
    </xf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/>
    </xf>
    <xf numFmtId="179" fontId="48" fillId="0" borderId="0" applyBorder="0" applyProtection="0">
      <alignment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4" fillId="0" borderId="10" xfId="0" applyFont="1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0" borderId="18" xfId="0" applyFont="1" applyBorder="1" applyAlignment="1">
      <alignment/>
    </xf>
    <xf numFmtId="0" fontId="66" fillId="0" borderId="19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67" fillId="0" borderId="14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20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20" xfId="0" applyFont="1" applyFill="1" applyBorder="1" applyAlignment="1">
      <alignment/>
    </xf>
    <xf numFmtId="0" fontId="68" fillId="0" borderId="20" xfId="0" applyFont="1" applyFill="1" applyBorder="1" applyAlignment="1">
      <alignment vertical="top" wrapText="1"/>
    </xf>
    <xf numFmtId="0" fontId="68" fillId="0" borderId="22" xfId="0" applyFont="1" applyFill="1" applyBorder="1" applyAlignment="1">
      <alignment/>
    </xf>
    <xf numFmtId="0" fontId="68" fillId="0" borderId="23" xfId="0" applyFont="1" applyFill="1" applyBorder="1" applyAlignment="1">
      <alignment/>
    </xf>
    <xf numFmtId="179" fontId="68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8" fillId="0" borderId="11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180" fontId="68" fillId="0" borderId="0" xfId="0" applyNumberFormat="1" applyFont="1" applyAlignment="1">
      <alignment horizontal="center"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0" xfId="0" applyFont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69" fillId="0" borderId="27" xfId="0" applyNumberFormat="1" applyFont="1" applyBorder="1" applyAlignment="1">
      <alignment horizontal="center"/>
    </xf>
    <xf numFmtId="2" fontId="0" fillId="0" borderId="0" xfId="0" applyNumberFormat="1" applyFill="1" applyAlignment="1">
      <alignment/>
    </xf>
    <xf numFmtId="0" fontId="68" fillId="0" borderId="0" xfId="0" applyFont="1" applyAlignment="1">
      <alignment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64" fillId="0" borderId="26" xfId="0" applyFont="1" applyBorder="1" applyAlignment="1">
      <alignment/>
    </xf>
    <xf numFmtId="172" fontId="64" fillId="0" borderId="26" xfId="63" applyFont="1" applyBorder="1" applyAlignment="1">
      <alignment horizontal="center"/>
    </xf>
    <xf numFmtId="172" fontId="72" fillId="0" borderId="26" xfId="63" applyFont="1" applyBorder="1" applyAlignment="1">
      <alignment horizontal="center"/>
    </xf>
    <xf numFmtId="172" fontId="72" fillId="0" borderId="0" xfId="63" applyFont="1" applyAlignment="1">
      <alignment/>
    </xf>
    <xf numFmtId="172" fontId="64" fillId="0" borderId="28" xfId="63" applyFont="1" applyBorder="1" applyAlignment="1">
      <alignment horizontal="center"/>
    </xf>
    <xf numFmtId="172" fontId="64" fillId="0" borderId="28" xfId="63" applyFont="1" applyFill="1" applyBorder="1" applyAlignment="1">
      <alignment/>
    </xf>
    <xf numFmtId="172" fontId="64" fillId="0" borderId="29" xfId="63" applyFont="1" applyFill="1" applyBorder="1" applyAlignment="1">
      <alignment/>
    </xf>
    <xf numFmtId="172" fontId="64" fillId="0" borderId="25" xfId="63" applyFont="1" applyFill="1" applyBorder="1" applyAlignment="1">
      <alignment/>
    </xf>
    <xf numFmtId="0" fontId="64" fillId="0" borderId="11" xfId="0" applyFont="1" applyBorder="1" applyAlignment="1">
      <alignment horizontal="center"/>
    </xf>
    <xf numFmtId="172" fontId="64" fillId="0" borderId="11" xfId="63" applyFont="1" applyBorder="1" applyAlignment="1">
      <alignment horizontal="center"/>
    </xf>
    <xf numFmtId="0" fontId="64" fillId="0" borderId="28" xfId="0" applyFont="1" applyBorder="1" applyAlignment="1">
      <alignment/>
    </xf>
    <xf numFmtId="172" fontId="72" fillId="0" borderId="25" xfId="63" applyFont="1" applyBorder="1" applyAlignment="1">
      <alignment horizontal="center"/>
    </xf>
    <xf numFmtId="172" fontId="72" fillId="0" borderId="28" xfId="63" applyFont="1" applyBorder="1" applyAlignment="1">
      <alignment horizontal="center"/>
    </xf>
    <xf numFmtId="0" fontId="71" fillId="0" borderId="28" xfId="0" applyFont="1" applyBorder="1" applyAlignment="1">
      <alignment/>
    </xf>
    <xf numFmtId="172" fontId="64" fillId="0" borderId="26" xfId="63" applyFont="1" applyFill="1" applyBorder="1" applyAlignment="1">
      <alignment/>
    </xf>
    <xf numFmtId="0" fontId="73" fillId="0" borderId="28" xfId="0" applyFont="1" applyBorder="1" applyAlignment="1">
      <alignment horizontal="center"/>
    </xf>
    <xf numFmtId="0" fontId="73" fillId="0" borderId="26" xfId="0" applyFont="1" applyBorder="1" applyAlignment="1">
      <alignment horizontal="center"/>
    </xf>
    <xf numFmtId="0" fontId="71" fillId="0" borderId="16" xfId="0" applyFont="1" applyBorder="1" applyAlignment="1">
      <alignment/>
    </xf>
    <xf numFmtId="0" fontId="64" fillId="0" borderId="28" xfId="0" applyFont="1" applyBorder="1" applyAlignment="1">
      <alignment horizontal="right"/>
    </xf>
    <xf numFmtId="172" fontId="72" fillId="0" borderId="26" xfId="63" applyFont="1" applyFill="1" applyBorder="1" applyAlignment="1">
      <alignment/>
    </xf>
    <xf numFmtId="0" fontId="64" fillId="0" borderId="14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64" fillId="0" borderId="26" xfId="0" applyFont="1" applyBorder="1" applyAlignment="1">
      <alignment horizontal="right"/>
    </xf>
    <xf numFmtId="0" fontId="64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16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4" fillId="0" borderId="18" xfId="0" applyFont="1" applyBorder="1" applyAlignment="1">
      <alignment/>
    </xf>
    <xf numFmtId="0" fontId="74" fillId="0" borderId="26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5" fillId="0" borderId="26" xfId="0" applyFont="1" applyBorder="1" applyAlignment="1">
      <alignment/>
    </xf>
    <xf numFmtId="0" fontId="75" fillId="0" borderId="26" xfId="0" applyFont="1" applyBorder="1" applyAlignment="1">
      <alignment horizontal="center"/>
    </xf>
    <xf numFmtId="0" fontId="74" fillId="0" borderId="26" xfId="0" applyFont="1" applyBorder="1" applyAlignment="1">
      <alignment/>
    </xf>
    <xf numFmtId="2" fontId="74" fillId="0" borderId="26" xfId="0" applyNumberFormat="1" applyFont="1" applyBorder="1" applyAlignment="1">
      <alignment horizontal="center"/>
    </xf>
    <xf numFmtId="173" fontId="74" fillId="0" borderId="26" xfId="0" applyNumberFormat="1" applyFont="1" applyBorder="1" applyAlignment="1">
      <alignment/>
    </xf>
    <xf numFmtId="3" fontId="74" fillId="0" borderId="26" xfId="0" applyNumberFormat="1" applyFont="1" applyBorder="1" applyAlignment="1">
      <alignment/>
    </xf>
    <xf numFmtId="0" fontId="74" fillId="0" borderId="28" xfId="0" applyFont="1" applyBorder="1" applyAlignment="1">
      <alignment horizontal="center"/>
    </xf>
    <xf numFmtId="0" fontId="74" fillId="0" borderId="28" xfId="0" applyFont="1" applyFill="1" applyBorder="1" applyAlignment="1">
      <alignment horizontal="center"/>
    </xf>
    <xf numFmtId="173" fontId="76" fillId="0" borderId="25" xfId="0" applyNumberFormat="1" applyFont="1" applyFill="1" applyBorder="1" applyAlignment="1">
      <alignment/>
    </xf>
    <xf numFmtId="1" fontId="76" fillId="0" borderId="26" xfId="0" applyNumberFormat="1" applyFont="1" applyBorder="1" applyAlignment="1">
      <alignment/>
    </xf>
    <xf numFmtId="2" fontId="74" fillId="0" borderId="15" xfId="0" applyNumberFormat="1" applyFont="1" applyBorder="1" applyAlignment="1">
      <alignment horizontal="center"/>
    </xf>
    <xf numFmtId="173" fontId="74" fillId="0" borderId="14" xfId="0" applyNumberFormat="1" applyFont="1" applyBorder="1" applyAlignment="1">
      <alignment/>
    </xf>
    <xf numFmtId="2" fontId="74" fillId="0" borderId="25" xfId="0" applyNumberFormat="1" applyFont="1" applyBorder="1" applyAlignment="1">
      <alignment horizontal="center"/>
    </xf>
    <xf numFmtId="2" fontId="74" fillId="0" borderId="17" xfId="0" applyNumberFormat="1" applyFont="1" applyBorder="1" applyAlignment="1">
      <alignment horizontal="center"/>
    </xf>
    <xf numFmtId="0" fontId="74" fillId="0" borderId="28" xfId="0" applyFont="1" applyBorder="1" applyAlignment="1">
      <alignment/>
    </xf>
    <xf numFmtId="0" fontId="74" fillId="0" borderId="10" xfId="0" applyFont="1" applyFill="1" applyBorder="1" applyAlignment="1">
      <alignment horizontal="center"/>
    </xf>
    <xf numFmtId="0" fontId="75" fillId="0" borderId="28" xfId="0" applyFont="1" applyBorder="1" applyAlignment="1">
      <alignment/>
    </xf>
    <xf numFmtId="0" fontId="77" fillId="0" borderId="26" xfId="0" applyFont="1" applyBorder="1" applyAlignment="1">
      <alignment/>
    </xf>
    <xf numFmtId="0" fontId="77" fillId="0" borderId="14" xfId="0" applyFont="1" applyBorder="1" applyAlignment="1">
      <alignment horizontal="center"/>
    </xf>
    <xf numFmtId="1" fontId="74" fillId="0" borderId="15" xfId="0" applyNumberFormat="1" applyFont="1" applyBorder="1" applyAlignment="1">
      <alignment horizontal="center"/>
    </xf>
    <xf numFmtId="1" fontId="74" fillId="0" borderId="26" xfId="0" applyNumberFormat="1" applyFont="1" applyBorder="1" applyAlignment="1">
      <alignment horizontal="center"/>
    </xf>
    <xf numFmtId="0" fontId="74" fillId="0" borderId="11" xfId="0" applyFont="1" applyBorder="1" applyAlignment="1">
      <alignment/>
    </xf>
    <xf numFmtId="172" fontId="74" fillId="0" borderId="11" xfId="63" applyFont="1" applyBorder="1" applyAlignment="1">
      <alignment/>
    </xf>
    <xf numFmtId="3" fontId="76" fillId="0" borderId="26" xfId="0" applyNumberFormat="1" applyFont="1" applyBorder="1" applyAlignment="1">
      <alignment/>
    </xf>
    <xf numFmtId="0" fontId="75" fillId="0" borderId="14" xfId="0" applyFont="1" applyBorder="1" applyAlignment="1">
      <alignment/>
    </xf>
    <xf numFmtId="0" fontId="75" fillId="0" borderId="14" xfId="0" applyFont="1" applyBorder="1" applyAlignment="1">
      <alignment horizontal="center"/>
    </xf>
    <xf numFmtId="3" fontId="76" fillId="0" borderId="14" xfId="0" applyNumberFormat="1" applyFont="1" applyBorder="1" applyAlignment="1">
      <alignment/>
    </xf>
    <xf numFmtId="0" fontId="74" fillId="0" borderId="14" xfId="0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4" fontId="74" fillId="0" borderId="0" xfId="0" applyNumberFormat="1" applyFont="1" applyAlignment="1">
      <alignment/>
    </xf>
    <xf numFmtId="4" fontId="76" fillId="0" borderId="26" xfId="0" applyNumberFormat="1" applyFont="1" applyBorder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/>
    </xf>
    <xf numFmtId="178" fontId="74" fillId="0" borderId="0" xfId="0" applyNumberFormat="1" applyFont="1" applyFill="1" applyAlignment="1">
      <alignment/>
    </xf>
    <xf numFmtId="4" fontId="74" fillId="0" borderId="0" xfId="0" applyNumberFormat="1" applyFont="1" applyFill="1" applyAlignment="1">
      <alignment/>
    </xf>
    <xf numFmtId="4" fontId="74" fillId="0" borderId="0" xfId="0" applyNumberFormat="1" applyFont="1" applyFill="1" applyAlignment="1">
      <alignment/>
    </xf>
    <xf numFmtId="0" fontId="74" fillId="0" borderId="0" xfId="0" applyFont="1" applyFill="1" applyAlignment="1">
      <alignment horizontal="left"/>
    </xf>
    <xf numFmtId="4" fontId="74" fillId="0" borderId="0" xfId="63" applyNumberFormat="1" applyFont="1" applyFill="1" applyAlignment="1">
      <alignment horizontal="center"/>
    </xf>
    <xf numFmtId="172" fontId="64" fillId="0" borderId="0" xfId="0" applyNumberFormat="1" applyFont="1" applyAlignment="1">
      <alignment/>
    </xf>
    <xf numFmtId="172" fontId="64" fillId="0" borderId="26" xfId="0" applyNumberFormat="1" applyFont="1" applyBorder="1" applyAlignment="1">
      <alignment/>
    </xf>
    <xf numFmtId="0" fontId="0" fillId="0" borderId="0" xfId="0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8" fillId="0" borderId="37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68" fillId="0" borderId="39" xfId="0" applyFont="1" applyFill="1" applyBorder="1" applyAlignment="1">
      <alignment horizontal="center"/>
    </xf>
    <xf numFmtId="0" fontId="68" fillId="0" borderId="38" xfId="0" applyFont="1" applyFill="1" applyBorder="1" applyAlignment="1">
      <alignment horizontal="center"/>
    </xf>
    <xf numFmtId="0" fontId="68" fillId="0" borderId="40" xfId="0" applyFont="1" applyFill="1" applyBorder="1" applyAlignment="1">
      <alignment horizontal="center"/>
    </xf>
    <xf numFmtId="0" fontId="68" fillId="0" borderId="41" xfId="0" applyFont="1" applyFill="1" applyBorder="1" applyAlignment="1">
      <alignment horizontal="center"/>
    </xf>
    <xf numFmtId="0" fontId="68" fillId="0" borderId="42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8" fillId="0" borderId="22" xfId="0" applyFont="1" applyBorder="1" applyAlignment="1">
      <alignment/>
    </xf>
    <xf numFmtId="0" fontId="68" fillId="0" borderId="44" xfId="0" applyFont="1" applyBorder="1" applyAlignment="1">
      <alignment horizontal="center"/>
    </xf>
    <xf numFmtId="0" fontId="68" fillId="0" borderId="45" xfId="0" applyFont="1" applyBorder="1" applyAlignment="1">
      <alignment horizontal="center"/>
    </xf>
    <xf numFmtId="4" fontId="68" fillId="0" borderId="46" xfId="0" applyNumberFormat="1" applyFont="1" applyBorder="1" applyAlignment="1">
      <alignment/>
    </xf>
    <xf numFmtId="4" fontId="68" fillId="0" borderId="47" xfId="0" applyNumberFormat="1" applyFont="1" applyBorder="1" applyAlignment="1">
      <alignment/>
    </xf>
    <xf numFmtId="4" fontId="68" fillId="0" borderId="48" xfId="0" applyNumberFormat="1" applyFont="1" applyBorder="1" applyAlignment="1">
      <alignment/>
    </xf>
    <xf numFmtId="179" fontId="68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180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3" fontId="74" fillId="0" borderId="0" xfId="0" applyNumberFormat="1" applyFont="1" applyAlignment="1">
      <alignment/>
    </xf>
    <xf numFmtId="3" fontId="76" fillId="0" borderId="12" xfId="0" applyNumberFormat="1" applyFont="1" applyBorder="1" applyAlignment="1">
      <alignment/>
    </xf>
    <xf numFmtId="178" fontId="64" fillId="0" borderId="49" xfId="63" applyNumberFormat="1" applyFont="1" applyBorder="1" applyAlignment="1">
      <alignment/>
    </xf>
    <xf numFmtId="172" fontId="72" fillId="0" borderId="49" xfId="63" applyFont="1" applyBorder="1" applyAlignment="1">
      <alignment horizontal="center"/>
    </xf>
    <xf numFmtId="172" fontId="64" fillId="0" borderId="49" xfId="63" applyFont="1" applyBorder="1" applyAlignment="1">
      <alignment horizontal="center"/>
    </xf>
    <xf numFmtId="184" fontId="72" fillId="0" borderId="49" xfId="63" applyNumberFormat="1" applyFont="1" applyBorder="1" applyAlignment="1">
      <alignment/>
    </xf>
    <xf numFmtId="3" fontId="74" fillId="0" borderId="28" xfId="0" applyNumberFormat="1" applyFont="1" applyBorder="1" applyAlignment="1">
      <alignment/>
    </xf>
    <xf numFmtId="0" fontId="74" fillId="0" borderId="49" xfId="0" applyFont="1" applyBorder="1" applyAlignment="1">
      <alignment/>
    </xf>
    <xf numFmtId="0" fontId="74" fillId="0" borderId="49" xfId="0" applyFont="1" applyFill="1" applyBorder="1" applyAlignment="1">
      <alignment horizontal="left"/>
    </xf>
    <xf numFmtId="4" fontId="74" fillId="0" borderId="49" xfId="63" applyNumberFormat="1" applyFont="1" applyFill="1" applyBorder="1" applyAlignment="1">
      <alignment horizontal="center"/>
    </xf>
    <xf numFmtId="4" fontId="74" fillId="0" borderId="49" xfId="63" applyNumberFormat="1" applyFont="1" applyFill="1" applyBorder="1" applyAlignment="1">
      <alignment horizontal="center" wrapText="1"/>
    </xf>
    <xf numFmtId="0" fontId="74" fillId="0" borderId="49" xfId="0" applyFont="1" applyFill="1" applyBorder="1" applyAlignment="1">
      <alignment horizontal="left" wrapText="1"/>
    </xf>
    <xf numFmtId="0" fontId="74" fillId="0" borderId="49" xfId="0" applyFont="1" applyFill="1" applyBorder="1" applyAlignment="1">
      <alignment/>
    </xf>
    <xf numFmtId="4" fontId="75" fillId="0" borderId="49" xfId="63" applyNumberFormat="1" applyFont="1" applyFill="1" applyBorder="1" applyAlignment="1">
      <alignment horizontal="center" wrapText="1"/>
    </xf>
    <xf numFmtId="0" fontId="76" fillId="0" borderId="49" xfId="0" applyFont="1" applyFill="1" applyBorder="1" applyAlignment="1">
      <alignment/>
    </xf>
    <xf numFmtId="0" fontId="76" fillId="0" borderId="49" xfId="0" applyFont="1" applyFill="1" applyBorder="1" applyAlignment="1">
      <alignment horizontal="left"/>
    </xf>
    <xf numFmtId="4" fontId="76" fillId="0" borderId="49" xfId="63" applyNumberFormat="1" applyFont="1" applyFill="1" applyBorder="1" applyAlignment="1">
      <alignment horizontal="center" wrapText="1"/>
    </xf>
    <xf numFmtId="4" fontId="76" fillId="0" borderId="49" xfId="63" applyNumberFormat="1" applyFont="1" applyFill="1" applyBorder="1" applyAlignment="1">
      <alignment horizontal="center"/>
    </xf>
    <xf numFmtId="0" fontId="76" fillId="0" borderId="50" xfId="0" applyFont="1" applyFill="1" applyBorder="1" applyAlignment="1">
      <alignment/>
    </xf>
    <xf numFmtId="0" fontId="76" fillId="0" borderId="51" xfId="0" applyFont="1" applyFill="1" applyBorder="1" applyAlignment="1">
      <alignment/>
    </xf>
    <xf numFmtId="0" fontId="76" fillId="0" borderId="52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69" fillId="0" borderId="49" xfId="0" applyNumberFormat="1" applyFont="1" applyBorder="1" applyAlignment="1">
      <alignment horizontal="center"/>
    </xf>
    <xf numFmtId="172" fontId="69" fillId="0" borderId="53" xfId="63" applyFont="1" applyBorder="1" applyAlignment="1">
      <alignment horizontal="center"/>
    </xf>
    <xf numFmtId="3" fontId="74" fillId="0" borderId="49" xfId="0" applyNumberFormat="1" applyFont="1" applyBorder="1" applyAlignment="1">
      <alignment horizontal="center"/>
    </xf>
    <xf numFmtId="0" fontId="74" fillId="0" borderId="49" xfId="0" applyFont="1" applyBorder="1" applyAlignment="1">
      <alignment horizontal="right"/>
    </xf>
    <xf numFmtId="0" fontId="74" fillId="0" borderId="49" xfId="0" applyFont="1" applyBorder="1" applyAlignment="1">
      <alignment/>
    </xf>
    <xf numFmtId="3" fontId="76" fillId="0" borderId="49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/>
    </xf>
    <xf numFmtId="172" fontId="64" fillId="0" borderId="54" xfId="63" applyFont="1" applyBorder="1" applyAlignment="1">
      <alignment horizontal="center"/>
    </xf>
    <xf numFmtId="0" fontId="64" fillId="0" borderId="49" xfId="0" applyFont="1" applyBorder="1" applyAlignment="1">
      <alignment horizontal="right"/>
    </xf>
    <xf numFmtId="0" fontId="64" fillId="0" borderId="49" xfId="0" applyFont="1" applyBorder="1" applyAlignment="1">
      <alignment horizontal="center"/>
    </xf>
    <xf numFmtId="0" fontId="64" fillId="0" borderId="49" xfId="0" applyFont="1" applyBorder="1" applyAlignment="1">
      <alignment/>
    </xf>
    <xf numFmtId="172" fontId="74" fillId="0" borderId="18" xfId="63" applyFont="1" applyBorder="1" applyAlignment="1">
      <alignment/>
    </xf>
    <xf numFmtId="172" fontId="76" fillId="0" borderId="49" xfId="63" applyFont="1" applyBorder="1" applyAlignment="1">
      <alignment/>
    </xf>
    <xf numFmtId="172" fontId="74" fillId="0" borderId="49" xfId="63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2" fontId="64" fillId="0" borderId="49" xfId="0" applyNumberFormat="1" applyFont="1" applyBorder="1" applyAlignment="1">
      <alignment/>
    </xf>
    <xf numFmtId="4" fontId="64" fillId="0" borderId="0" xfId="0" applyNumberFormat="1" applyFont="1" applyAlignment="1">
      <alignment/>
    </xf>
    <xf numFmtId="49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right"/>
    </xf>
    <xf numFmtId="4" fontId="72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2" fontId="64" fillId="0" borderId="26" xfId="0" applyNumberFormat="1" applyFont="1" applyBorder="1" applyAlignment="1">
      <alignment/>
    </xf>
    <xf numFmtId="173" fontId="64" fillId="0" borderId="26" xfId="0" applyNumberFormat="1" applyFont="1" applyBorder="1" applyAlignment="1">
      <alignment/>
    </xf>
    <xf numFmtId="173" fontId="64" fillId="0" borderId="0" xfId="0" applyNumberFormat="1" applyFont="1" applyAlignment="1">
      <alignment/>
    </xf>
    <xf numFmtId="3" fontId="72" fillId="0" borderId="55" xfId="0" applyNumberFormat="1" applyFont="1" applyBorder="1" applyAlignment="1">
      <alignment horizontal="center"/>
    </xf>
    <xf numFmtId="0" fontId="72" fillId="0" borderId="56" xfId="0" applyFont="1" applyBorder="1" applyAlignment="1">
      <alignment horizontal="center"/>
    </xf>
    <xf numFmtId="2" fontId="64" fillId="0" borderId="49" xfId="0" applyNumberFormat="1" applyFont="1" applyBorder="1" applyAlignment="1">
      <alignment horizontal="center"/>
    </xf>
    <xf numFmtId="173" fontId="64" fillId="0" borderId="49" xfId="0" applyNumberFormat="1" applyFont="1" applyBorder="1" applyAlignment="1">
      <alignment/>
    </xf>
    <xf numFmtId="2" fontId="64" fillId="0" borderId="0" xfId="0" applyNumberFormat="1" applyFont="1" applyBorder="1" applyAlignment="1">
      <alignment horizontal="center"/>
    </xf>
    <xf numFmtId="173" fontId="64" fillId="0" borderId="0" xfId="0" applyNumberFormat="1" applyFont="1" applyBorder="1" applyAlignment="1">
      <alignment/>
    </xf>
    <xf numFmtId="0" fontId="72" fillId="0" borderId="0" xfId="0" applyFont="1" applyAlignment="1">
      <alignment horizontal="right"/>
    </xf>
    <xf numFmtId="4" fontId="72" fillId="0" borderId="57" xfId="0" applyNumberFormat="1" applyFont="1" applyBorder="1" applyAlignment="1">
      <alignment/>
    </xf>
    <xf numFmtId="4" fontId="72" fillId="0" borderId="58" xfId="0" applyNumberFormat="1" applyFont="1" applyBorder="1" applyAlignment="1">
      <alignment/>
    </xf>
    <xf numFmtId="4" fontId="64" fillId="0" borderId="59" xfId="0" applyNumberFormat="1" applyFont="1" applyBorder="1" applyAlignment="1">
      <alignment/>
    </xf>
    <xf numFmtId="4" fontId="72" fillId="0" borderId="60" xfId="0" applyNumberFormat="1" applyFont="1" applyBorder="1" applyAlignment="1">
      <alignment/>
    </xf>
    <xf numFmtId="4" fontId="72" fillId="0" borderId="61" xfId="0" applyNumberFormat="1" applyFont="1" applyBorder="1" applyAlignment="1">
      <alignment/>
    </xf>
    <xf numFmtId="172" fontId="0" fillId="0" borderId="26" xfId="63" applyFont="1" applyFill="1" applyBorder="1" applyAlignment="1">
      <alignment/>
    </xf>
    <xf numFmtId="172" fontId="0" fillId="0" borderId="25" xfId="63" applyFont="1" applyFill="1" applyBorder="1" applyAlignment="1">
      <alignment/>
    </xf>
    <xf numFmtId="0" fontId="72" fillId="0" borderId="62" xfId="0" applyFont="1" applyBorder="1" applyAlignment="1">
      <alignment horizontal="center"/>
    </xf>
    <xf numFmtId="0" fontId="72" fillId="0" borderId="63" xfId="0" applyFont="1" applyBorder="1" applyAlignment="1">
      <alignment horizontal="center"/>
    </xf>
    <xf numFmtId="172" fontId="0" fillId="0" borderId="29" xfId="63" applyFont="1" applyFill="1" applyBorder="1" applyAlignment="1">
      <alignment/>
    </xf>
    <xf numFmtId="0" fontId="0" fillId="0" borderId="0" xfId="0" applyFont="1" applyAlignment="1">
      <alignment/>
    </xf>
    <xf numFmtId="3" fontId="71" fillId="0" borderId="43" xfId="0" applyNumberFormat="1" applyFont="1" applyBorder="1" applyAlignment="1">
      <alignment/>
    </xf>
    <xf numFmtId="174" fontId="64" fillId="0" borderId="26" xfId="0" applyNumberFormat="1" applyFont="1" applyBorder="1" applyAlignment="1">
      <alignment/>
    </xf>
    <xf numFmtId="2" fontId="72" fillId="0" borderId="49" xfId="0" applyNumberFormat="1" applyFont="1" applyBorder="1" applyAlignment="1">
      <alignment horizontal="center"/>
    </xf>
    <xf numFmtId="4" fontId="72" fillId="0" borderId="49" xfId="0" applyNumberFormat="1" applyFont="1" applyBorder="1" applyAlignment="1">
      <alignment horizontal="center"/>
    </xf>
    <xf numFmtId="172" fontId="64" fillId="0" borderId="0" xfId="63" applyFont="1" applyAlignment="1">
      <alignment/>
    </xf>
    <xf numFmtId="175" fontId="76" fillId="0" borderId="12" xfId="63" applyNumberFormat="1" applyFont="1" applyBorder="1" applyAlignment="1">
      <alignment vertic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4" fontId="76" fillId="0" borderId="0" xfId="0" applyNumberFormat="1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/>
    </xf>
    <xf numFmtId="3" fontId="74" fillId="0" borderId="0" xfId="0" applyNumberFormat="1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 horizontal="right"/>
    </xf>
    <xf numFmtId="0" fontId="75" fillId="0" borderId="50" xfId="0" applyFont="1" applyBorder="1" applyAlignment="1">
      <alignment/>
    </xf>
    <xf numFmtId="0" fontId="74" fillId="0" borderId="50" xfId="0" applyFont="1" applyBorder="1" applyAlignment="1">
      <alignment horizontal="right"/>
    </xf>
    <xf numFmtId="0" fontId="76" fillId="0" borderId="50" xfId="0" applyFont="1" applyBorder="1" applyAlignment="1">
      <alignment horizontal="right"/>
    </xf>
    <xf numFmtId="3" fontId="75" fillId="0" borderId="49" xfId="0" applyNumberFormat="1" applyFont="1" applyBorder="1" applyAlignment="1">
      <alignment horizontal="center"/>
    </xf>
    <xf numFmtId="3" fontId="77" fillId="0" borderId="49" xfId="0" applyNumberFormat="1" applyFont="1" applyBorder="1" applyAlignment="1">
      <alignment horizontal="center"/>
    </xf>
    <xf numFmtId="0" fontId="74" fillId="0" borderId="64" xfId="0" applyFont="1" applyBorder="1" applyAlignment="1">
      <alignment horizontal="center"/>
    </xf>
    <xf numFmtId="0" fontId="75" fillId="0" borderId="65" xfId="0" applyFont="1" applyBorder="1" applyAlignment="1">
      <alignment/>
    </xf>
    <xf numFmtId="0" fontId="76" fillId="0" borderId="65" xfId="0" applyFont="1" applyBorder="1" applyAlignment="1">
      <alignment/>
    </xf>
    <xf numFmtId="0" fontId="74" fillId="0" borderId="65" xfId="0" applyFont="1" applyBorder="1" applyAlignment="1">
      <alignment horizontal="right"/>
    </xf>
    <xf numFmtId="3" fontId="74" fillId="0" borderId="64" xfId="0" applyNumberFormat="1" applyFont="1" applyBorder="1" applyAlignment="1">
      <alignment horizontal="center"/>
    </xf>
    <xf numFmtId="3" fontId="75" fillId="0" borderId="64" xfId="0" applyNumberFormat="1" applyFont="1" applyBorder="1" applyAlignment="1">
      <alignment horizontal="center"/>
    </xf>
    <xf numFmtId="0" fontId="74" fillId="0" borderId="65" xfId="0" applyFont="1" applyBorder="1" applyAlignment="1">
      <alignment/>
    </xf>
    <xf numFmtId="174" fontId="75" fillId="0" borderId="64" xfId="63" applyNumberFormat="1" applyFont="1" applyBorder="1" applyAlignment="1">
      <alignment/>
    </xf>
    <xf numFmtId="0" fontId="77" fillId="0" borderId="65" xfId="0" applyFont="1" applyBorder="1" applyAlignment="1">
      <alignment horizontal="right"/>
    </xf>
    <xf numFmtId="3" fontId="77" fillId="0" borderId="64" xfId="0" applyNumberFormat="1" applyFont="1" applyBorder="1" applyAlignment="1">
      <alignment horizontal="center"/>
    </xf>
    <xf numFmtId="0" fontId="76" fillId="0" borderId="65" xfId="0" applyFont="1" applyBorder="1" applyAlignment="1">
      <alignment horizontal="right"/>
    </xf>
    <xf numFmtId="3" fontId="76" fillId="0" borderId="64" xfId="0" applyNumberFormat="1" applyFont="1" applyBorder="1" applyAlignment="1">
      <alignment horizontal="center"/>
    </xf>
    <xf numFmtId="0" fontId="77" fillId="0" borderId="65" xfId="0" applyFont="1" applyBorder="1" applyAlignment="1">
      <alignment horizontal="center"/>
    </xf>
    <xf numFmtId="0" fontId="74" fillId="0" borderId="66" xfId="0" applyFont="1" applyBorder="1" applyAlignment="1">
      <alignment/>
    </xf>
    <xf numFmtId="0" fontId="74" fillId="0" borderId="67" xfId="0" applyFont="1" applyBorder="1" applyAlignment="1">
      <alignment/>
    </xf>
    <xf numFmtId="0" fontId="74" fillId="0" borderId="68" xfId="0" applyFont="1" applyBorder="1" applyAlignment="1">
      <alignment/>
    </xf>
    <xf numFmtId="0" fontId="74" fillId="0" borderId="66" xfId="0" applyFont="1" applyBorder="1" applyAlignment="1">
      <alignment horizontal="center"/>
    </xf>
    <xf numFmtId="0" fontId="74" fillId="0" borderId="68" xfId="0" applyFont="1" applyBorder="1" applyAlignment="1">
      <alignment horizontal="center"/>
    </xf>
    <xf numFmtId="0" fontId="74" fillId="0" borderId="69" xfId="0" applyFont="1" applyBorder="1" applyAlignment="1">
      <alignment horizontal="center"/>
    </xf>
    <xf numFmtId="0" fontId="74" fillId="0" borderId="70" xfId="0" applyFont="1" applyBorder="1" applyAlignment="1">
      <alignment horizontal="center"/>
    </xf>
    <xf numFmtId="174" fontId="69" fillId="0" borderId="0" xfId="0" applyNumberFormat="1" applyFont="1" applyAlignment="1">
      <alignment/>
    </xf>
    <xf numFmtId="0" fontId="72" fillId="0" borderId="0" xfId="0" applyFont="1" applyAlignment="1">
      <alignment/>
    </xf>
    <xf numFmtId="0" fontId="74" fillId="0" borderId="49" xfId="0" applyFont="1" applyFill="1" applyBorder="1" applyAlignment="1">
      <alignment/>
    </xf>
    <xf numFmtId="0" fontId="74" fillId="0" borderId="49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8" fillId="0" borderId="71" xfId="0" applyFont="1" applyBorder="1" applyAlignment="1">
      <alignment horizontal="left"/>
    </xf>
    <xf numFmtId="0" fontId="8" fillId="0" borderId="83" xfId="0" applyFont="1" applyBorder="1" applyAlignment="1">
      <alignment/>
    </xf>
    <xf numFmtId="0" fontId="0" fillId="0" borderId="72" xfId="0" applyBorder="1" applyAlignment="1">
      <alignment/>
    </xf>
    <xf numFmtId="0" fontId="0" fillId="0" borderId="84" xfId="0" applyBorder="1" applyAlignment="1">
      <alignment/>
    </xf>
    <xf numFmtId="0" fontId="0" fillId="0" borderId="76" xfId="0" applyFont="1" applyBorder="1" applyAlignment="1">
      <alignment/>
    </xf>
    <xf numFmtId="0" fontId="0" fillId="0" borderId="85" xfId="0" applyBorder="1" applyAlignment="1">
      <alignment/>
    </xf>
    <xf numFmtId="0" fontId="8" fillId="0" borderId="73" xfId="0" applyFont="1" applyFill="1" applyBorder="1" applyAlignment="1">
      <alignment horizontal="left"/>
    </xf>
    <xf numFmtId="0" fontId="8" fillId="0" borderId="8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87" xfId="0" applyBorder="1" applyAlignment="1">
      <alignment/>
    </xf>
    <xf numFmtId="2" fontId="0" fillId="0" borderId="74" xfId="0" applyNumberFormat="1" applyFont="1" applyBorder="1" applyAlignment="1">
      <alignment horizontal="center"/>
    </xf>
    <xf numFmtId="2" fontId="0" fillId="0" borderId="87" xfId="0" applyNumberFormat="1" applyFon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2" fontId="9" fillId="0" borderId="87" xfId="0" applyNumberFormat="1" applyFont="1" applyBorder="1" applyAlignment="1">
      <alignment horizontal="center"/>
    </xf>
    <xf numFmtId="0" fontId="9" fillId="0" borderId="73" xfId="0" applyFont="1" applyBorder="1" applyAlignment="1">
      <alignment horizontal="right"/>
    </xf>
    <xf numFmtId="2" fontId="8" fillId="0" borderId="88" xfId="0" applyNumberFormat="1" applyFont="1" applyBorder="1" applyAlignment="1">
      <alignment horizontal="center"/>
    </xf>
    <xf numFmtId="2" fontId="8" fillId="0" borderId="89" xfId="0" applyNumberFormat="1" applyFont="1" applyBorder="1" applyAlignment="1">
      <alignment horizontal="center"/>
    </xf>
    <xf numFmtId="2" fontId="8" fillId="0" borderId="90" xfId="0" applyNumberFormat="1" applyFont="1" applyBorder="1" applyAlignment="1">
      <alignment horizontal="center"/>
    </xf>
    <xf numFmtId="0" fontId="8" fillId="0" borderId="73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8" fillId="0" borderId="84" xfId="0" applyNumberFormat="1" applyFont="1" applyBorder="1" applyAlignment="1">
      <alignment horizontal="center"/>
    </xf>
    <xf numFmtId="0" fontId="8" fillId="0" borderId="73" xfId="0" applyFont="1" applyBorder="1" applyAlignment="1">
      <alignment/>
    </xf>
    <xf numFmtId="0" fontId="0" fillId="0" borderId="0" xfId="0" applyBorder="1" applyAlignment="1">
      <alignment/>
    </xf>
    <xf numFmtId="2" fontId="8" fillId="0" borderId="91" xfId="0" applyNumberFormat="1" applyFont="1" applyBorder="1" applyAlignment="1">
      <alignment horizontal="center"/>
    </xf>
    <xf numFmtId="2" fontId="0" fillId="0" borderId="89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79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72" fontId="74" fillId="0" borderId="0" xfId="63" applyFont="1" applyFill="1" applyAlignment="1">
      <alignment/>
    </xf>
    <xf numFmtId="4" fontId="74" fillId="0" borderId="49" xfId="0" applyNumberFormat="1" applyFont="1" applyFill="1" applyBorder="1" applyAlignment="1">
      <alignment/>
    </xf>
    <xf numFmtId="0" fontId="74" fillId="0" borderId="49" xfId="0" applyFont="1" applyFill="1" applyBorder="1" applyAlignment="1">
      <alignment/>
    </xf>
    <xf numFmtId="3" fontId="7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" fontId="69" fillId="0" borderId="52" xfId="0" applyNumberFormat="1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4" fillId="0" borderId="92" xfId="0" applyFont="1" applyBorder="1" applyAlignment="1">
      <alignment horizontal="center"/>
    </xf>
    <xf numFmtId="0" fontId="72" fillId="0" borderId="93" xfId="0" applyFont="1" applyFill="1" applyBorder="1" applyAlignment="1">
      <alignment horizontal="center"/>
    </xf>
    <xf numFmtId="0" fontId="64" fillId="0" borderId="92" xfId="0" applyFont="1" applyFill="1" applyBorder="1" applyAlignment="1">
      <alignment horizontal="center"/>
    </xf>
    <xf numFmtId="0" fontId="72" fillId="0" borderId="94" xfId="0" applyFont="1" applyFill="1" applyBorder="1" applyAlignment="1">
      <alignment horizontal="center"/>
    </xf>
    <xf numFmtId="0" fontId="64" fillId="0" borderId="95" xfId="0" applyFont="1" applyBorder="1" applyAlignment="1">
      <alignment horizontal="center"/>
    </xf>
    <xf numFmtId="0" fontId="64" fillId="0" borderId="96" xfId="0" applyFont="1" applyBorder="1" applyAlignment="1">
      <alignment horizontal="center"/>
    </xf>
    <xf numFmtId="0" fontId="64" fillId="0" borderId="97" xfId="0" applyFont="1" applyBorder="1" applyAlignment="1">
      <alignment horizontal="center"/>
    </xf>
    <xf numFmtId="0" fontId="64" fillId="0" borderId="98" xfId="0" applyFont="1" applyBorder="1" applyAlignment="1">
      <alignment horizontal="center"/>
    </xf>
    <xf numFmtId="0" fontId="64" fillId="0" borderId="97" xfId="0" applyFont="1" applyFill="1" applyBorder="1" applyAlignment="1">
      <alignment horizontal="center"/>
    </xf>
    <xf numFmtId="0" fontId="72" fillId="0" borderId="97" xfId="0" applyFont="1" applyFill="1" applyBorder="1" applyAlignment="1">
      <alignment horizontal="center"/>
    </xf>
    <xf numFmtId="0" fontId="72" fillId="0" borderId="99" xfId="0" applyFont="1" applyFill="1" applyBorder="1" applyAlignment="1">
      <alignment horizontal="center"/>
    </xf>
    <xf numFmtId="0" fontId="64" fillId="0" borderId="100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56" xfId="0" applyFont="1" applyBorder="1" applyAlignment="1">
      <alignment horizontal="center"/>
    </xf>
    <xf numFmtId="0" fontId="64" fillId="0" borderId="53" xfId="0" applyFont="1" applyBorder="1" applyAlignment="1">
      <alignment horizontal="center"/>
    </xf>
    <xf numFmtId="0" fontId="64" fillId="0" borderId="56" xfId="0" applyFont="1" applyFill="1" applyBorder="1" applyAlignment="1">
      <alignment horizontal="center"/>
    </xf>
    <xf numFmtId="0" fontId="72" fillId="0" borderId="56" xfId="0" applyFont="1" applyFill="1" applyBorder="1" applyAlignment="1">
      <alignment horizontal="center"/>
    </xf>
    <xf numFmtId="2" fontId="64" fillId="0" borderId="56" xfId="0" applyNumberFormat="1" applyFont="1" applyBorder="1" applyAlignment="1">
      <alignment horizontal="right"/>
    </xf>
    <xf numFmtId="2" fontId="72" fillId="0" borderId="101" xfId="0" applyNumberFormat="1" applyFont="1" applyBorder="1" applyAlignment="1">
      <alignment horizontal="right"/>
    </xf>
    <xf numFmtId="0" fontId="64" fillId="0" borderId="102" xfId="0" applyFont="1" applyBorder="1" applyAlignment="1">
      <alignment horizontal="center"/>
    </xf>
    <xf numFmtId="0" fontId="64" fillId="0" borderId="103" xfId="0" applyFont="1" applyBorder="1" applyAlignment="1">
      <alignment/>
    </xf>
    <xf numFmtId="0" fontId="64" fillId="0" borderId="104" xfId="0" applyFont="1" applyBorder="1" applyAlignment="1">
      <alignment horizontal="center"/>
    </xf>
    <xf numFmtId="1" fontId="64" fillId="0" borderId="104" xfId="0" applyNumberFormat="1" applyFont="1" applyBorder="1" applyAlignment="1">
      <alignment horizontal="center"/>
    </xf>
    <xf numFmtId="2" fontId="64" fillId="0" borderId="104" xfId="0" applyNumberFormat="1" applyFont="1" applyBorder="1" applyAlignment="1">
      <alignment horizontal="center"/>
    </xf>
    <xf numFmtId="2" fontId="72" fillId="0" borderId="33" xfId="0" applyNumberFormat="1" applyFont="1" applyBorder="1" applyAlignment="1">
      <alignment horizontal="center"/>
    </xf>
    <xf numFmtId="2" fontId="64" fillId="0" borderId="14" xfId="0" applyNumberFormat="1" applyFont="1" applyBorder="1" applyAlignment="1">
      <alignment horizontal="center"/>
    </xf>
    <xf numFmtId="2" fontId="72" fillId="0" borderId="105" xfId="0" applyNumberFormat="1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20" xfId="0" applyFont="1" applyBorder="1" applyAlignment="1">
      <alignment/>
    </xf>
    <xf numFmtId="0" fontId="64" fillId="0" borderId="106" xfId="0" applyFont="1" applyBorder="1" applyAlignment="1">
      <alignment horizontal="center"/>
    </xf>
    <xf numFmtId="1" fontId="64" fillId="0" borderId="106" xfId="0" applyNumberFormat="1" applyFont="1" applyBorder="1" applyAlignment="1">
      <alignment horizontal="center"/>
    </xf>
    <xf numFmtId="2" fontId="64" fillId="0" borderId="106" xfId="0" applyNumberFormat="1" applyFont="1" applyBorder="1" applyAlignment="1">
      <alignment horizontal="center"/>
    </xf>
    <xf numFmtId="2" fontId="72" fillId="0" borderId="31" xfId="0" applyNumberFormat="1" applyFont="1" applyBorder="1" applyAlignment="1">
      <alignment horizontal="center"/>
    </xf>
    <xf numFmtId="2" fontId="64" fillId="0" borderId="26" xfId="0" applyNumberFormat="1" applyFont="1" applyBorder="1" applyAlignment="1">
      <alignment horizontal="center"/>
    </xf>
    <xf numFmtId="2" fontId="72" fillId="0" borderId="107" xfId="0" applyNumberFormat="1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0" fontId="64" fillId="0" borderId="21" xfId="0" applyFont="1" applyBorder="1" applyAlignment="1">
      <alignment/>
    </xf>
    <xf numFmtId="0" fontId="64" fillId="0" borderId="108" xfId="0" applyFont="1" applyBorder="1" applyAlignment="1">
      <alignment horizontal="center"/>
    </xf>
    <xf numFmtId="1" fontId="64" fillId="0" borderId="108" xfId="0" applyNumberFormat="1" applyFont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0" fontId="64" fillId="0" borderId="20" xfId="0" applyFont="1" applyFill="1" applyBorder="1" applyAlignment="1">
      <alignment/>
    </xf>
    <xf numFmtId="0" fontId="64" fillId="0" borderId="38" xfId="0" applyFont="1" applyFill="1" applyBorder="1" applyAlignment="1">
      <alignment horizontal="center"/>
    </xf>
    <xf numFmtId="0" fontId="64" fillId="0" borderId="40" xfId="0" applyFont="1" applyFill="1" applyBorder="1" applyAlignment="1">
      <alignment horizontal="center"/>
    </xf>
    <xf numFmtId="0" fontId="64" fillId="0" borderId="20" xfId="0" applyFont="1" applyFill="1" applyBorder="1" applyAlignment="1">
      <alignment vertical="top" wrapText="1"/>
    </xf>
    <xf numFmtId="0" fontId="64" fillId="0" borderId="22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2" fontId="64" fillId="0" borderId="108" xfId="0" applyNumberFormat="1" applyFont="1" applyBorder="1" applyAlignment="1">
      <alignment horizontal="center"/>
    </xf>
    <xf numFmtId="2" fontId="72" fillId="0" borderId="32" xfId="0" applyNumberFormat="1" applyFont="1" applyBorder="1" applyAlignment="1">
      <alignment horizontal="center"/>
    </xf>
    <xf numFmtId="2" fontId="64" fillId="0" borderId="11" xfId="0" applyNumberFormat="1" applyFont="1" applyBorder="1" applyAlignment="1">
      <alignment horizontal="center"/>
    </xf>
    <xf numFmtId="2" fontId="72" fillId="0" borderId="109" xfId="0" applyNumberFormat="1" applyFont="1" applyBorder="1" applyAlignment="1">
      <alignment horizontal="center"/>
    </xf>
    <xf numFmtId="0" fontId="64" fillId="0" borderId="110" xfId="0" applyFont="1" applyBorder="1" applyAlignment="1">
      <alignment horizontal="center"/>
    </xf>
    <xf numFmtId="1" fontId="64" fillId="0" borderId="110" xfId="0" applyNumberFormat="1" applyFont="1" applyBorder="1" applyAlignment="1">
      <alignment horizontal="center"/>
    </xf>
    <xf numFmtId="2" fontId="64" fillId="0" borderId="110" xfId="0" applyNumberFormat="1" applyFont="1" applyBorder="1" applyAlignment="1">
      <alignment horizontal="center"/>
    </xf>
    <xf numFmtId="2" fontId="72" fillId="0" borderId="111" xfId="0" applyNumberFormat="1" applyFont="1" applyBorder="1" applyAlignment="1">
      <alignment horizontal="center"/>
    </xf>
    <xf numFmtId="2" fontId="72" fillId="0" borderId="110" xfId="0" applyNumberFormat="1" applyFont="1" applyBorder="1" applyAlignment="1">
      <alignment horizontal="center"/>
    </xf>
    <xf numFmtId="2" fontId="72" fillId="0" borderId="112" xfId="0" applyNumberFormat="1" applyFont="1" applyBorder="1" applyAlignment="1">
      <alignment horizontal="center"/>
    </xf>
    <xf numFmtId="0" fontId="7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69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68" fillId="0" borderId="113" xfId="0" applyFont="1" applyFill="1" applyBorder="1" applyAlignment="1">
      <alignment/>
    </xf>
    <xf numFmtId="0" fontId="68" fillId="0" borderId="110" xfId="0" applyFont="1" applyFill="1" applyBorder="1" applyAlignment="1">
      <alignment/>
    </xf>
    <xf numFmtId="0" fontId="68" fillId="0" borderId="114" xfId="0" applyFont="1" applyBorder="1" applyAlignment="1">
      <alignment horizontal="center" vertical="center"/>
    </xf>
    <xf numFmtId="0" fontId="68" fillId="0" borderId="115" xfId="0" applyFont="1" applyBorder="1" applyAlignment="1">
      <alignment horizontal="center" vertical="center"/>
    </xf>
    <xf numFmtId="0" fontId="68" fillId="0" borderId="116" xfId="0" applyFont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180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64" fillId="0" borderId="117" xfId="0" applyFont="1" applyFill="1" applyBorder="1" applyAlignment="1">
      <alignment horizontal="center"/>
    </xf>
    <xf numFmtId="0" fontId="79" fillId="0" borderId="52" xfId="0" applyFont="1" applyFill="1" applyBorder="1" applyAlignment="1">
      <alignment horizontal="center" vertical="center"/>
    </xf>
    <xf numFmtId="0" fontId="79" fillId="0" borderId="4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0" fontId="68" fillId="0" borderId="118" xfId="0" applyFont="1" applyFill="1" applyBorder="1" applyAlignment="1">
      <alignment horizontal="center"/>
    </xf>
    <xf numFmtId="0" fontId="64" fillId="0" borderId="118" xfId="0" applyFont="1" applyFill="1" applyBorder="1" applyAlignment="1">
      <alignment horizontal="center"/>
    </xf>
    <xf numFmtId="0" fontId="69" fillId="0" borderId="119" xfId="0" applyFont="1" applyFill="1" applyBorder="1" applyAlignment="1">
      <alignment horizontal="center"/>
    </xf>
    <xf numFmtId="180" fontId="68" fillId="0" borderId="57" xfId="0" applyNumberFormat="1" applyFont="1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49" xfId="0" applyFont="1" applyFill="1" applyBorder="1" applyAlignment="1">
      <alignment/>
    </xf>
    <xf numFmtId="172" fontId="64" fillId="0" borderId="120" xfId="63" applyFont="1" applyFill="1" applyBorder="1" applyAlignment="1">
      <alignment horizontal="center"/>
    </xf>
    <xf numFmtId="172" fontId="64" fillId="0" borderId="11" xfId="63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4" fillId="0" borderId="26" xfId="0" applyFont="1" applyFill="1" applyBorder="1" applyAlignment="1">
      <alignment horizontal="center"/>
    </xf>
    <xf numFmtId="0" fontId="71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76" fillId="0" borderId="0" xfId="0" applyFont="1" applyFill="1" applyAlignment="1">
      <alignment horizontal="center"/>
    </xf>
    <xf numFmtId="0" fontId="74" fillId="0" borderId="26" xfId="0" applyFont="1" applyFill="1" applyBorder="1" applyAlignment="1">
      <alignment horizontal="center"/>
    </xf>
    <xf numFmtId="0" fontId="75" fillId="0" borderId="26" xfId="0" applyFont="1" applyFill="1" applyBorder="1" applyAlignment="1">
      <alignment/>
    </xf>
    <xf numFmtId="1" fontId="64" fillId="0" borderId="28" xfId="0" applyNumberFormat="1" applyFont="1" applyFill="1" applyBorder="1" applyAlignment="1">
      <alignment horizontal="center" vertical="justify"/>
    </xf>
    <xf numFmtId="1" fontId="64" fillId="0" borderId="25" xfId="0" applyNumberFormat="1" applyFont="1" applyFill="1" applyBorder="1" applyAlignment="1">
      <alignment horizontal="center" vertical="justify"/>
    </xf>
    <xf numFmtId="0" fontId="74" fillId="0" borderId="0" xfId="0" applyFont="1" applyFill="1" applyAlignment="1">
      <alignment horizontal="center"/>
    </xf>
    <xf numFmtId="0" fontId="80" fillId="0" borderId="0" xfId="0" applyFont="1" applyFill="1" applyBorder="1" applyAlignment="1">
      <alignment/>
    </xf>
    <xf numFmtId="0" fontId="74" fillId="0" borderId="121" xfId="0" applyFont="1" applyFill="1" applyBorder="1" applyAlignment="1">
      <alignment horizontal="center"/>
    </xf>
    <xf numFmtId="0" fontId="74" fillId="0" borderId="122" xfId="0" applyFont="1" applyFill="1" applyBorder="1" applyAlignment="1">
      <alignment horizontal="center"/>
    </xf>
    <xf numFmtId="0" fontId="75" fillId="0" borderId="123" xfId="0" applyFont="1" applyFill="1" applyBorder="1" applyAlignment="1">
      <alignment/>
    </xf>
    <xf numFmtId="0" fontId="75" fillId="0" borderId="124" xfId="0" applyFont="1" applyFill="1" applyBorder="1" applyAlignment="1">
      <alignment/>
    </xf>
    <xf numFmtId="0" fontId="75" fillId="0" borderId="125" xfId="0" applyFont="1" applyFill="1" applyBorder="1" applyAlignment="1">
      <alignment/>
    </xf>
    <xf numFmtId="0" fontId="80" fillId="0" borderId="49" xfId="0" applyFont="1" applyFill="1" applyBorder="1" applyAlignment="1">
      <alignment/>
    </xf>
    <xf numFmtId="3" fontId="77" fillId="0" borderId="64" xfId="0" applyNumberFormat="1" applyFont="1" applyFill="1" applyBorder="1" applyAlignment="1">
      <alignment horizontal="center"/>
    </xf>
    <xf numFmtId="0" fontId="74" fillId="0" borderId="49" xfId="0" applyFont="1" applyFill="1" applyBorder="1" applyAlignment="1">
      <alignment horizontal="left" vertical="top"/>
    </xf>
    <xf numFmtId="0" fontId="74" fillId="0" borderId="49" xfId="0" applyFont="1" applyFill="1" applyBorder="1" applyAlignment="1">
      <alignment/>
    </xf>
    <xf numFmtId="0" fontId="74" fillId="0" borderId="54" xfId="0" applyFont="1" applyFill="1" applyBorder="1" applyAlignment="1">
      <alignment horizontal="center" vertical="justify"/>
    </xf>
    <xf numFmtId="0" fontId="74" fillId="0" borderId="126" xfId="0" applyFont="1" applyFill="1" applyBorder="1" applyAlignment="1">
      <alignment horizontal="center" vertical="justify"/>
    </xf>
    <xf numFmtId="0" fontId="74" fillId="0" borderId="124" xfId="0" applyFont="1" applyFill="1" applyBorder="1" applyAlignment="1">
      <alignment horizontal="center" vertical="justify"/>
    </xf>
    <xf numFmtId="0" fontId="74" fillId="0" borderId="49" xfId="0" applyFont="1" applyFill="1" applyBorder="1" applyAlignment="1">
      <alignment horizontal="left" vertical="center"/>
    </xf>
    <xf numFmtId="0" fontId="74" fillId="0" borderId="54" xfId="0" applyFont="1" applyFill="1" applyBorder="1" applyAlignment="1">
      <alignment vertical="justify"/>
    </xf>
    <xf numFmtId="0" fontId="74" fillId="0" borderId="126" xfId="0" applyFont="1" applyFill="1" applyBorder="1" applyAlignment="1">
      <alignment vertical="justify"/>
    </xf>
    <xf numFmtId="0" fontId="74" fillId="0" borderId="124" xfId="0" applyFont="1" applyFill="1" applyBorder="1" applyAlignment="1">
      <alignment vertical="justify"/>
    </xf>
    <xf numFmtId="0" fontId="74" fillId="0" borderId="49" xfId="0" applyFont="1" applyFill="1" applyBorder="1" applyAlignment="1">
      <alignment vertical="justify"/>
    </xf>
    <xf numFmtId="0" fontId="74" fillId="0" borderId="54" xfId="0" applyFont="1" applyFill="1" applyBorder="1" applyAlignment="1">
      <alignment horizontal="center" vertical="top"/>
    </xf>
    <xf numFmtId="0" fontId="74" fillId="0" borderId="126" xfId="0" applyFont="1" applyFill="1" applyBorder="1" applyAlignment="1">
      <alignment horizontal="center" vertical="top"/>
    </xf>
    <xf numFmtId="0" fontId="74" fillId="0" borderId="124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9" fillId="0" borderId="129" xfId="0" applyFont="1" applyBorder="1" applyAlignment="1">
      <alignment horizontal="right"/>
    </xf>
    <xf numFmtId="0" fontId="9" fillId="0" borderId="129" xfId="0" applyFont="1" applyBorder="1" applyAlignment="1">
      <alignment horizontal="center"/>
    </xf>
    <xf numFmtId="0" fontId="9" fillId="0" borderId="73" xfId="0" applyFont="1" applyBorder="1" applyAlignment="1">
      <alignment horizontal="right"/>
    </xf>
    <xf numFmtId="0" fontId="8" fillId="0" borderId="91" xfId="0" applyFont="1" applyBorder="1" applyAlignment="1">
      <alignment horizontal="right"/>
    </xf>
    <xf numFmtId="2" fontId="8" fillId="0" borderId="130" xfId="0" applyNumberFormat="1" applyFont="1" applyBorder="1" applyAlignment="1">
      <alignment horizontal="center"/>
    </xf>
    <xf numFmtId="0" fontId="8" fillId="0" borderId="71" xfId="0" applyFont="1" applyBorder="1" applyAlignment="1">
      <alignment horizontal="left"/>
    </xf>
    <xf numFmtId="2" fontId="0" fillId="0" borderId="8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128" xfId="0" applyNumberFormat="1" applyFont="1" applyBorder="1" applyAlignment="1">
      <alignment horizontal="center"/>
    </xf>
    <xf numFmtId="0" fontId="9" fillId="0" borderId="72" xfId="0" applyFont="1" applyBorder="1" applyAlignment="1">
      <alignment horizontal="right"/>
    </xf>
    <xf numFmtId="2" fontId="0" fillId="0" borderId="72" xfId="0" applyNumberForma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Percent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_07_2016\2012_2016%20&#1075;&#1086;&#1076;\&#1052;&#1086;&#1080;%20&#1076;&#1086;&#1082;&#1091;&#1084;&#1077;&#1085;&#1090;&#1099;_2012_2016\&#1052;&#1086;&#1080;%20&#1076;&#1086;&#1082;&#1091;&#1084;&#1077;&#1085;&#1090;&#1099;_&#1058;&#1057;&#1046;\&#1054;&#1092;&#1080;&#1089;_&#1050;&#1080;&#1088;&#1086;&#1074;&#1089;&#1082;&#1086;&#1077;_2\&#1054;&#1090;&#1095;&#1077;&#1090;&#1099;\&#1069;&#1083;_&#1101;&#1085;&#1077;&#1088;&#1075;&#1080;&#1103;\&#1040;&#1082;&#1090;_&#1088;&#1072;&#1089;&#1095;&#1077;&#1090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Минская_25"/>
      <sheetName val="Нагорная_143"/>
      <sheetName val="Кромская_4"/>
      <sheetName val="Ставроп_202"/>
      <sheetName val="Ставроп_204"/>
      <sheetName val="Показания_ОПУ_в_квит"/>
      <sheetName val="СВОД_в_квитанцию"/>
      <sheetName val="Анализ_объемов"/>
      <sheetName val="Из_архива_2011_2014"/>
    </sheetNames>
    <sheetDataSet>
      <sheetData sheetId="8">
        <row r="27">
          <cell r="F27">
            <v>83046.05976785907</v>
          </cell>
          <cell r="H27">
            <v>395183.46299437666</v>
          </cell>
        </row>
        <row r="28">
          <cell r="F28">
            <v>2.01</v>
          </cell>
          <cell r="H28">
            <v>4.08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6" sqref="H6"/>
    </sheetView>
  </sheetViews>
  <sheetFormatPr defaultColWidth="8.796875" defaultRowHeight="14.25"/>
  <cols>
    <col min="1" max="8" width="10.69921875" style="1" customWidth="1"/>
    <col min="9" max="9" width="9" style="1" customWidth="1"/>
    <col min="10" max="16384" width="9" style="1" customWidth="1"/>
  </cols>
  <sheetData>
    <row r="1" ht="20.25">
      <c r="H1" s="2" t="s">
        <v>0</v>
      </c>
    </row>
    <row r="8" spans="1:8" ht="45">
      <c r="A8" s="379" t="s">
        <v>1</v>
      </c>
      <c r="B8" s="379"/>
      <c r="C8" s="379"/>
      <c r="D8" s="379"/>
      <c r="E8" s="379"/>
      <c r="F8" s="379"/>
      <c r="G8" s="379"/>
      <c r="H8" s="379"/>
    </row>
    <row r="9" spans="1:8" ht="20.25">
      <c r="A9" s="380" t="s">
        <v>2</v>
      </c>
      <c r="B9" s="380"/>
      <c r="C9" s="380"/>
      <c r="D9" s="380"/>
      <c r="E9" s="380"/>
      <c r="F9" s="380"/>
      <c r="G9" s="380"/>
      <c r="H9" s="380"/>
    </row>
    <row r="10" spans="1:8" ht="20.25">
      <c r="A10" s="380" t="s">
        <v>3</v>
      </c>
      <c r="B10" s="380"/>
      <c r="C10" s="380"/>
      <c r="D10" s="380"/>
      <c r="E10" s="380"/>
      <c r="F10" s="380"/>
      <c r="G10" s="380"/>
      <c r="H10" s="380"/>
    </row>
    <row r="13" spans="1:8" ht="45">
      <c r="A13" s="379" t="s">
        <v>4</v>
      </c>
      <c r="B13" s="379"/>
      <c r="C13" s="379"/>
      <c r="D13" s="379"/>
      <c r="E13" s="379"/>
      <c r="F13" s="379"/>
      <c r="G13" s="379"/>
      <c r="H13" s="379"/>
    </row>
    <row r="14" spans="1:8" ht="34.5" customHeight="1">
      <c r="A14" s="381"/>
      <c r="B14" s="381"/>
      <c r="C14" s="381"/>
      <c r="D14" s="381"/>
      <c r="E14" s="381"/>
      <c r="F14" s="381"/>
      <c r="G14" s="381"/>
      <c r="H14" s="381"/>
    </row>
    <row r="23" ht="15">
      <c r="D23" s="1" t="s">
        <v>5</v>
      </c>
    </row>
    <row r="26" spans="5:7" ht="15">
      <c r="E26" s="1" t="s">
        <v>6</v>
      </c>
      <c r="F26" s="3"/>
      <c r="G26" s="1" t="s">
        <v>7</v>
      </c>
    </row>
    <row r="37" spans="1:8" ht="15.75">
      <c r="A37" s="382" t="s">
        <v>8</v>
      </c>
      <c r="B37" s="382"/>
      <c r="C37" s="382"/>
      <c r="D37" s="382"/>
      <c r="E37" s="382"/>
      <c r="F37" s="382"/>
      <c r="G37" s="382"/>
      <c r="H37" s="382"/>
    </row>
  </sheetData>
  <sheetProtection/>
  <mergeCells count="6">
    <mergeCell ref="A8:H8"/>
    <mergeCell ref="A9:H9"/>
    <mergeCell ref="A10:H10"/>
    <mergeCell ref="A13:H13"/>
    <mergeCell ref="A14:H14"/>
    <mergeCell ref="A37:H37"/>
  </mergeCells>
  <printOptions/>
  <pageMargins left="0.49645669291338607" right="0.448031496062992" top="1.083070866141733" bottom="1.083070866141733" header="0.78740157480315" footer="0.7874015748031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9" sqref="H9"/>
    </sheetView>
  </sheetViews>
  <sheetFormatPr defaultColWidth="8.3984375" defaultRowHeight="14.25"/>
  <cols>
    <col min="1" max="1" width="26.19921875" style="4" customWidth="1"/>
    <col min="2" max="5" width="12.59765625" style="4" customWidth="1"/>
    <col min="6" max="16384" width="8.3984375" style="4" customWidth="1"/>
  </cols>
  <sheetData>
    <row r="1" ht="18.75">
      <c r="E1" s="5" t="s">
        <v>0</v>
      </c>
    </row>
    <row r="2" ht="18.75">
      <c r="E2" s="6"/>
    </row>
    <row r="4" spans="1:9" ht="18.75">
      <c r="A4" s="383" t="s">
        <v>9</v>
      </c>
      <c r="B4" s="383"/>
      <c r="C4" s="383"/>
      <c r="D4" s="383"/>
      <c r="E4" s="383"/>
      <c r="F4" s="383"/>
      <c r="G4" s="6"/>
      <c r="H4" s="6"/>
      <c r="I4" s="6"/>
    </row>
    <row r="5" spans="1:7" ht="18.75">
      <c r="A5" s="383" t="s">
        <v>10</v>
      </c>
      <c r="B5" s="383"/>
      <c r="C5" s="383"/>
      <c r="D5" s="383"/>
      <c r="E5" s="383"/>
      <c r="F5" s="383"/>
      <c r="G5" s="6"/>
    </row>
    <row r="6" spans="1:5" ht="18.75">
      <c r="A6" s="7"/>
      <c r="B6" s="384" t="s">
        <v>11</v>
      </c>
      <c r="C6" s="384"/>
      <c r="D6" s="384"/>
      <c r="E6" s="8" t="s">
        <v>12</v>
      </c>
    </row>
    <row r="7" spans="1:5" ht="18.75">
      <c r="A7" s="9"/>
      <c r="B7" s="10" t="s">
        <v>13</v>
      </c>
      <c r="C7" s="10" t="s">
        <v>14</v>
      </c>
      <c r="D7" s="11" t="s">
        <v>15</v>
      </c>
      <c r="E7" s="10" t="s">
        <v>16</v>
      </c>
    </row>
    <row r="8" spans="1:5" ht="18.75">
      <c r="A8" s="12"/>
      <c r="B8" s="13" t="s">
        <v>17</v>
      </c>
      <c r="C8" s="13" t="s">
        <v>17</v>
      </c>
      <c r="D8" s="14" t="s">
        <v>18</v>
      </c>
      <c r="E8" s="13" t="s">
        <v>19</v>
      </c>
    </row>
    <row r="9" spans="1:5" ht="18.75">
      <c r="A9" s="15" t="s">
        <v>20</v>
      </c>
      <c r="B9" s="8">
        <v>19389.1</v>
      </c>
      <c r="C9" s="8">
        <v>4285.5</v>
      </c>
      <c r="D9" s="16">
        <f>B9+C9</f>
        <v>23674.6</v>
      </c>
      <c r="E9" s="8">
        <v>7</v>
      </c>
    </row>
    <row r="10" spans="1:5" ht="18.75">
      <c r="A10" s="17"/>
      <c r="B10" s="13"/>
      <c r="C10" s="13"/>
      <c r="D10" s="14"/>
      <c r="E10" s="13"/>
    </row>
    <row r="11" spans="1:5" ht="18.75">
      <c r="A11" s="15" t="s">
        <v>21</v>
      </c>
      <c r="B11" s="8">
        <v>17835.3</v>
      </c>
      <c r="C11" s="8">
        <v>3651.5</v>
      </c>
      <c r="D11" s="16">
        <f>B11+C11</f>
        <v>21486.8</v>
      </c>
      <c r="E11" s="8">
        <v>6</v>
      </c>
    </row>
    <row r="12" spans="1:5" ht="18.75">
      <c r="A12" s="17"/>
      <c r="B12" s="13"/>
      <c r="C12" s="13"/>
      <c r="D12" s="14"/>
      <c r="E12" s="13"/>
    </row>
    <row r="13" spans="1:5" ht="18.75">
      <c r="A13" s="15" t="s">
        <v>22</v>
      </c>
      <c r="B13" s="8">
        <v>20878.1</v>
      </c>
      <c r="C13" s="8">
        <v>4621.6</v>
      </c>
      <c r="D13" s="16">
        <f>B13+C13</f>
        <v>25499.699999999997</v>
      </c>
      <c r="E13" s="8">
        <v>14</v>
      </c>
    </row>
    <row r="14" spans="1:5" ht="18.75">
      <c r="A14" s="17"/>
      <c r="B14" s="13"/>
      <c r="C14" s="13"/>
      <c r="D14" s="14"/>
      <c r="E14" s="13"/>
    </row>
    <row r="15" spans="1:5" ht="18.75">
      <c r="A15" s="15" t="s">
        <v>23</v>
      </c>
      <c r="B15" s="8">
        <v>14846.3</v>
      </c>
      <c r="C15" s="8">
        <v>1609.3</v>
      </c>
      <c r="D15" s="16">
        <f>B15+C15</f>
        <v>16455.6</v>
      </c>
      <c r="E15" s="8">
        <v>10</v>
      </c>
    </row>
    <row r="16" spans="1:5" ht="18.75">
      <c r="A16" s="17"/>
      <c r="B16" s="13"/>
      <c r="C16" s="13"/>
      <c r="D16" s="14"/>
      <c r="E16" s="13"/>
    </row>
    <row r="17" spans="1:5" ht="18.75">
      <c r="A17" s="15" t="s">
        <v>24</v>
      </c>
      <c r="B17" s="8">
        <v>17683.7</v>
      </c>
      <c r="C17" s="8">
        <v>2728.9</v>
      </c>
      <c r="D17" s="16">
        <f>B17+C17</f>
        <v>20412.600000000002</v>
      </c>
      <c r="E17" s="8">
        <v>12</v>
      </c>
    </row>
    <row r="18" spans="1:5" ht="18.75">
      <c r="A18" s="17"/>
      <c r="B18" s="13"/>
      <c r="C18" s="13"/>
      <c r="D18" s="14"/>
      <c r="E18" s="13"/>
    </row>
    <row r="19" spans="1:5" ht="18.75">
      <c r="A19" s="15"/>
      <c r="B19" s="8"/>
      <c r="C19" s="18"/>
      <c r="D19" s="8"/>
      <c r="E19" s="8"/>
    </row>
    <row r="20" spans="1:5" ht="18.75">
      <c r="A20" s="19" t="s">
        <v>25</v>
      </c>
      <c r="B20" s="20">
        <f>SUM(B9:B19)</f>
        <v>90632.49999999999</v>
      </c>
      <c r="C20" s="20">
        <f>SUM(C9:C19)</f>
        <v>16896.8</v>
      </c>
      <c r="D20" s="20">
        <f>SUM(D9:D19)</f>
        <v>107529.29999999999</v>
      </c>
      <c r="E20" s="20">
        <v>49</v>
      </c>
    </row>
  </sheetData>
  <sheetProtection/>
  <mergeCells count="3">
    <mergeCell ref="A4:F4"/>
    <mergeCell ref="A5:F5"/>
    <mergeCell ref="B6:D6"/>
  </mergeCells>
  <printOptions/>
  <pageMargins left="0.905511811023622" right="0.511811023622047" top="0.7480314960629921" bottom="0.7480314960629921" header="0.3149606299212601" footer="0.3149606299212601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6">
      <selection activeCell="B6" sqref="B6"/>
    </sheetView>
  </sheetViews>
  <sheetFormatPr defaultColWidth="8.796875" defaultRowHeight="14.25"/>
  <cols>
    <col min="1" max="1" width="4.8984375" style="47" customWidth="1"/>
    <col min="2" max="2" width="54.09765625" style="47" customWidth="1"/>
    <col min="3" max="3" width="9.59765625" style="47" customWidth="1"/>
    <col min="4" max="4" width="13" style="47" customWidth="1"/>
    <col min="5" max="16384" width="9" style="47" customWidth="1"/>
  </cols>
  <sheetData>
    <row r="1" spans="2:3" ht="15.75">
      <c r="B1" s="22" t="s">
        <v>26</v>
      </c>
      <c r="C1" s="22"/>
    </row>
    <row r="3" spans="1:3" ht="15.75">
      <c r="A3" s="385"/>
      <c r="B3" s="385"/>
      <c r="C3" s="385"/>
    </row>
    <row r="5" spans="1:3" ht="15.75">
      <c r="A5" s="386" t="s">
        <v>27</v>
      </c>
      <c r="B5" s="386"/>
      <c r="C5" s="386"/>
    </row>
    <row r="6" spans="1:3" ht="15.75">
      <c r="A6" s="32"/>
      <c r="B6" s="32"/>
      <c r="C6" s="32"/>
    </row>
    <row r="7" spans="1:3" ht="15.75">
      <c r="A7" s="32"/>
      <c r="B7" s="32"/>
      <c r="C7" s="32"/>
    </row>
    <row r="8" spans="1:3" ht="15.75">
      <c r="A8" s="386" t="s">
        <v>4</v>
      </c>
      <c r="B8" s="386"/>
      <c r="C8" s="386"/>
    </row>
    <row r="10" ht="16.5" thickBot="1"/>
    <row r="11" spans="1:4" ht="15.75">
      <c r="A11" s="135" t="s">
        <v>28</v>
      </c>
      <c r="B11" s="136" t="s">
        <v>29</v>
      </c>
      <c r="C11" s="136" t="s">
        <v>30</v>
      </c>
      <c r="D11" s="389" t="s">
        <v>317</v>
      </c>
    </row>
    <row r="12" spans="1:4" ht="15.75">
      <c r="A12" s="137" t="s">
        <v>31</v>
      </c>
      <c r="B12" s="138" t="s">
        <v>32</v>
      </c>
      <c r="C12" s="130" t="s">
        <v>33</v>
      </c>
      <c r="D12" s="390"/>
    </row>
    <row r="13" spans="1:4" ht="16.5" thickBot="1">
      <c r="A13" s="149"/>
      <c r="B13" s="150"/>
      <c r="C13" s="145"/>
      <c r="D13" s="391"/>
    </row>
    <row r="14" spans="1:4" ht="15.75">
      <c r="A14" s="147" t="s">
        <v>34</v>
      </c>
      <c r="B14" s="148" t="s">
        <v>35</v>
      </c>
      <c r="C14" s="133">
        <v>1</v>
      </c>
      <c r="D14" s="151">
        <f>Штатное!S12</f>
        <v>35409</v>
      </c>
    </row>
    <row r="15" spans="1:4" ht="15.75">
      <c r="A15" s="139" t="s">
        <v>36</v>
      </c>
      <c r="B15" s="25" t="s">
        <v>37</v>
      </c>
      <c r="C15" s="131">
        <v>1</v>
      </c>
      <c r="D15" s="152">
        <f>Штатное!S13</f>
        <v>34104</v>
      </c>
    </row>
    <row r="16" spans="1:4" ht="15.75">
      <c r="A16" s="139" t="s">
        <v>38</v>
      </c>
      <c r="B16" s="25" t="s">
        <v>39</v>
      </c>
      <c r="C16" s="131">
        <v>1</v>
      </c>
      <c r="D16" s="152">
        <f>Штатное!S14</f>
        <v>23751</v>
      </c>
    </row>
    <row r="17" spans="1:4" ht="15.75">
      <c r="A17" s="139" t="s">
        <v>40</v>
      </c>
      <c r="B17" s="25" t="s">
        <v>39</v>
      </c>
      <c r="C17" s="131">
        <v>1</v>
      </c>
      <c r="D17" s="152">
        <f>Штатное!S15</f>
        <v>23751</v>
      </c>
    </row>
    <row r="18" spans="1:4" ht="15.75">
      <c r="A18" s="140" t="s">
        <v>41</v>
      </c>
      <c r="B18" s="26" t="s">
        <v>42</v>
      </c>
      <c r="C18" s="132">
        <v>1</v>
      </c>
      <c r="D18" s="152">
        <f>Штатное!S16</f>
        <v>10527</v>
      </c>
    </row>
    <row r="19" spans="1:4" ht="15.75">
      <c r="A19" s="140" t="s">
        <v>43</v>
      </c>
      <c r="B19" s="26" t="s">
        <v>44</v>
      </c>
      <c r="C19" s="132">
        <v>1</v>
      </c>
      <c r="D19" s="152">
        <f>Штатное!S17</f>
        <v>19575</v>
      </c>
    </row>
    <row r="20" spans="1:4" ht="15.75">
      <c r="A20" s="141" t="s">
        <v>45</v>
      </c>
      <c r="B20" s="27" t="s">
        <v>46</v>
      </c>
      <c r="C20" s="132">
        <v>3</v>
      </c>
      <c r="D20" s="152">
        <f>Штатное!S18</f>
        <v>17052</v>
      </c>
    </row>
    <row r="21" spans="1:4" ht="15.75">
      <c r="A21" s="142" t="s">
        <v>47</v>
      </c>
      <c r="B21" s="27" t="s">
        <v>46</v>
      </c>
      <c r="C21" s="132">
        <v>1</v>
      </c>
      <c r="D21" s="152">
        <f>Штатное!S19</f>
        <v>17052</v>
      </c>
    </row>
    <row r="22" spans="1:4" ht="31.5">
      <c r="A22" s="143" t="s">
        <v>48</v>
      </c>
      <c r="B22" s="28" t="s">
        <v>49</v>
      </c>
      <c r="C22" s="131">
        <v>1</v>
      </c>
      <c r="D22" s="152">
        <f>Штатное!S20</f>
        <v>22533</v>
      </c>
    </row>
    <row r="23" spans="1:4" ht="15.75">
      <c r="A23" s="142" t="s">
        <v>50</v>
      </c>
      <c r="B23" s="27" t="s">
        <v>51</v>
      </c>
      <c r="C23" s="133">
        <v>1</v>
      </c>
      <c r="D23" s="152">
        <f>Штатное!S21</f>
        <v>22533</v>
      </c>
    </row>
    <row r="24" spans="1:4" ht="15.75">
      <c r="A24" s="141" t="s">
        <v>52</v>
      </c>
      <c r="B24" s="29" t="s">
        <v>53</v>
      </c>
      <c r="C24" s="133">
        <v>2</v>
      </c>
      <c r="D24" s="152">
        <f>Штатное!S22</f>
        <v>14355</v>
      </c>
    </row>
    <row r="25" spans="1:4" ht="15.75">
      <c r="A25" s="141" t="s">
        <v>54</v>
      </c>
      <c r="B25" s="27" t="s">
        <v>55</v>
      </c>
      <c r="C25" s="131">
        <v>2</v>
      </c>
      <c r="D25" s="152">
        <f>Штатное!S23</f>
        <v>11005.5</v>
      </c>
    </row>
    <row r="26" spans="1:4" ht="15.75">
      <c r="A26" s="141" t="s">
        <v>56</v>
      </c>
      <c r="B26" s="27" t="s">
        <v>57</v>
      </c>
      <c r="C26" s="131">
        <v>2</v>
      </c>
      <c r="D26" s="152">
        <f>Штатное!S24</f>
        <v>13224</v>
      </c>
    </row>
    <row r="27" spans="1:4" ht="15.75">
      <c r="A27" s="141" t="s">
        <v>58</v>
      </c>
      <c r="B27" s="27" t="s">
        <v>59</v>
      </c>
      <c r="C27" s="131">
        <v>2</v>
      </c>
      <c r="D27" s="152">
        <f>Штатное!S25</f>
        <v>7177.5</v>
      </c>
    </row>
    <row r="28" spans="1:4" ht="15.75">
      <c r="A28" s="141" t="s">
        <v>60</v>
      </c>
      <c r="B28" s="27" t="s">
        <v>61</v>
      </c>
      <c r="C28" s="131">
        <v>2</v>
      </c>
      <c r="D28" s="152">
        <f>Штатное!S26</f>
        <v>13224</v>
      </c>
    </row>
    <row r="29" spans="1:4" ht="15.75">
      <c r="A29" s="141" t="s">
        <v>62</v>
      </c>
      <c r="B29" s="27" t="s">
        <v>63</v>
      </c>
      <c r="C29" s="131">
        <v>7</v>
      </c>
      <c r="D29" s="152">
        <f>Штатное!S27</f>
        <v>2871</v>
      </c>
    </row>
    <row r="30" spans="1:4" ht="15.75">
      <c r="A30" s="141" t="s">
        <v>64</v>
      </c>
      <c r="B30" s="27" t="s">
        <v>65</v>
      </c>
      <c r="C30" s="131">
        <v>6</v>
      </c>
      <c r="D30" s="152">
        <f>Штатное!S28</f>
        <v>2871</v>
      </c>
    </row>
    <row r="31" spans="1:4" ht="15.75">
      <c r="A31" s="141" t="s">
        <v>66</v>
      </c>
      <c r="B31" s="27" t="s">
        <v>67</v>
      </c>
      <c r="C31" s="131">
        <v>7</v>
      </c>
      <c r="D31" s="152">
        <f>Штатное!S29</f>
        <v>3306</v>
      </c>
    </row>
    <row r="32" spans="1:4" ht="15.75">
      <c r="A32" s="141" t="s">
        <v>68</v>
      </c>
      <c r="B32" s="27" t="s">
        <v>69</v>
      </c>
      <c r="C32" s="132">
        <v>5</v>
      </c>
      <c r="D32" s="152">
        <f>Штатное!S30</f>
        <v>3306</v>
      </c>
    </row>
    <row r="33" spans="1:4" ht="15.75">
      <c r="A33" s="141" t="s">
        <v>70</v>
      </c>
      <c r="B33" s="27" t="s">
        <v>71</v>
      </c>
      <c r="C33" s="132">
        <v>6</v>
      </c>
      <c r="D33" s="152">
        <f>Штатное!S31</f>
        <v>3306</v>
      </c>
    </row>
    <row r="34" spans="1:4" ht="16.5" thickBot="1">
      <c r="A34" s="144" t="s">
        <v>72</v>
      </c>
      <c r="B34" s="30" t="s">
        <v>73</v>
      </c>
      <c r="C34" s="134">
        <v>1</v>
      </c>
      <c r="D34" s="153">
        <f>Штатное!S32</f>
        <v>7917</v>
      </c>
    </row>
    <row r="35" spans="1:4" ht="16.5" thickBot="1">
      <c r="A35" s="387"/>
      <c r="B35" s="388"/>
      <c r="C35" s="145">
        <f>SUM(C14:C34)</f>
        <v>54</v>
      </c>
      <c r="D35" s="146"/>
    </row>
    <row r="39" spans="3:5" ht="15.75">
      <c r="C39" s="154"/>
      <c r="D39" s="31"/>
      <c r="E39" s="31"/>
    </row>
    <row r="44" spans="2:3" ht="15.75">
      <c r="B44" s="47" t="s">
        <v>35</v>
      </c>
      <c r="C44" s="47" t="s">
        <v>74</v>
      </c>
    </row>
    <row r="46" spans="2:3" ht="15.75">
      <c r="B46" s="47" t="s">
        <v>75</v>
      </c>
      <c r="C46" s="47" t="s">
        <v>76</v>
      </c>
    </row>
  </sheetData>
  <sheetProtection/>
  <mergeCells count="5">
    <mergeCell ref="A3:C3"/>
    <mergeCell ref="A5:C5"/>
    <mergeCell ref="A8:C8"/>
    <mergeCell ref="A35:B35"/>
    <mergeCell ref="D11:D13"/>
  </mergeCells>
  <printOptions/>
  <pageMargins left="0.7086614173228347" right="0.11811023622047245" top="0.5511811023622047" bottom="0.5511811023622047" header="0.31496062992125984" footer="0.31496062992125984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1">
      <selection activeCell="S3" sqref="S3"/>
    </sheetView>
  </sheetViews>
  <sheetFormatPr defaultColWidth="8.796875" defaultRowHeight="14.25"/>
  <cols>
    <col min="1" max="1" width="4.8984375" style="21" customWidth="1"/>
    <col min="2" max="2" width="44.59765625" style="21" customWidth="1"/>
    <col min="3" max="3" width="6.09765625" style="24" customWidth="1"/>
    <col min="4" max="5" width="10.59765625" style="21" hidden="1" customWidth="1"/>
    <col min="6" max="7" width="9.09765625" style="21" hidden="1" customWidth="1"/>
    <col min="8" max="8" width="18.19921875" style="21" customWidth="1"/>
    <col min="9" max="11" width="14.59765625" style="21" customWidth="1"/>
    <col min="12" max="13" width="14.59765625" style="156" customWidth="1"/>
    <col min="14" max="14" width="15.19921875" style="21" customWidth="1"/>
    <col min="15" max="15" width="11.09765625" style="21" customWidth="1"/>
    <col min="16" max="16" width="10.3984375" style="21" customWidth="1"/>
    <col min="17" max="17" width="10.69921875" style="21" customWidth="1"/>
    <col min="18" max="18" width="9" style="21" customWidth="1"/>
    <col min="19" max="19" width="9.5" style="21" customWidth="1"/>
    <col min="20" max="16384" width="9" style="21" customWidth="1"/>
  </cols>
  <sheetData>
    <row r="1" spans="2:13" ht="15.75">
      <c r="B1" s="400" t="s">
        <v>26</v>
      </c>
      <c r="C1" s="400"/>
      <c r="D1" s="400"/>
      <c r="E1" s="400"/>
      <c r="F1" s="400"/>
      <c r="G1" s="400"/>
      <c r="H1" s="400"/>
      <c r="I1" s="33"/>
      <c r="J1" s="33"/>
      <c r="K1" s="33"/>
      <c r="L1" s="159"/>
      <c r="M1" s="159"/>
    </row>
    <row r="2" spans="9:13" ht="15.75">
      <c r="I2" s="24"/>
      <c r="J2" s="33"/>
      <c r="K2" s="33"/>
      <c r="L2" s="159"/>
      <c r="M2" s="159"/>
    </row>
    <row r="3" spans="4:13" ht="16.5" thickBot="1">
      <c r="D3" s="34" t="s">
        <v>77</v>
      </c>
      <c r="E3" s="401" t="s">
        <v>78</v>
      </c>
      <c r="F3" s="401"/>
      <c r="G3" s="401"/>
      <c r="H3" s="401"/>
      <c r="I3" s="402" t="s">
        <v>79</v>
      </c>
      <c r="J3" s="402"/>
      <c r="K3" s="402"/>
      <c r="L3" s="181"/>
      <c r="M3" s="181"/>
    </row>
    <row r="4" spans="1:13" ht="16.5" thickBot="1">
      <c r="A4" s="403" t="s">
        <v>27</v>
      </c>
      <c r="B4" s="403"/>
      <c r="C4" s="403"/>
      <c r="D4" s="35">
        <v>23</v>
      </c>
      <c r="E4" s="404" t="s">
        <v>80</v>
      </c>
      <c r="F4" s="404"/>
      <c r="G4" s="404"/>
      <c r="H4" s="404"/>
      <c r="I4" s="405"/>
      <c r="J4" s="405"/>
      <c r="K4" s="405"/>
      <c r="L4" s="182"/>
      <c r="M4" s="182"/>
    </row>
    <row r="5" spans="1:13" ht="15.75">
      <c r="A5" s="23"/>
      <c r="B5" s="23"/>
      <c r="C5" s="23"/>
      <c r="D5" s="23"/>
      <c r="E5" s="36"/>
      <c r="F5" s="36"/>
      <c r="G5" s="36"/>
      <c r="H5" s="36"/>
      <c r="I5" s="386" t="s">
        <v>81</v>
      </c>
      <c r="J5" s="386"/>
      <c r="K5" s="386"/>
      <c r="L5" s="157"/>
      <c r="M5" s="157"/>
    </row>
    <row r="6" spans="1:13" ht="15.75">
      <c r="A6" s="23"/>
      <c r="B6" s="23"/>
      <c r="C6" s="23"/>
      <c r="D6" s="23"/>
      <c r="E6" s="36"/>
      <c r="F6" s="36"/>
      <c r="G6" s="36"/>
      <c r="H6" s="395" t="s">
        <v>82</v>
      </c>
      <c r="I6" s="395"/>
      <c r="J6" s="395"/>
      <c r="K6" s="395"/>
      <c r="L6" s="158"/>
      <c r="M6" s="158"/>
    </row>
    <row r="7" spans="1:13" ht="15.75">
      <c r="A7" s="386" t="s">
        <v>83</v>
      </c>
      <c r="B7" s="386"/>
      <c r="C7" s="386"/>
      <c r="D7" s="386"/>
      <c r="E7" s="24"/>
      <c r="F7" s="24"/>
      <c r="G7" s="24"/>
      <c r="H7" s="396" t="s">
        <v>84</v>
      </c>
      <c r="I7" s="396"/>
      <c r="J7" s="396"/>
      <c r="K7" s="396"/>
      <c r="L7" s="159"/>
      <c r="M7" s="159"/>
    </row>
    <row r="8" spans="9:13" ht="16.5" thickBot="1">
      <c r="I8" s="33" t="s">
        <v>85</v>
      </c>
      <c r="J8" s="24">
        <f>C33</f>
        <v>54</v>
      </c>
      <c r="K8" s="33" t="s">
        <v>86</v>
      </c>
      <c r="L8" s="159"/>
      <c r="M8" s="159"/>
    </row>
    <row r="9" spans="1:19" s="39" customFormat="1" ht="15.75" thickBot="1">
      <c r="A9" s="321" t="s">
        <v>28</v>
      </c>
      <c r="B9" s="322" t="s">
        <v>29</v>
      </c>
      <c r="C9" s="323" t="s">
        <v>30</v>
      </c>
      <c r="D9" s="397" t="s">
        <v>87</v>
      </c>
      <c r="E9" s="397"/>
      <c r="F9" s="397"/>
      <c r="G9" s="397"/>
      <c r="H9" s="397"/>
      <c r="I9" s="324" t="s">
        <v>88</v>
      </c>
      <c r="J9" s="325" t="s">
        <v>89</v>
      </c>
      <c r="K9" s="326" t="s">
        <v>90</v>
      </c>
      <c r="L9" s="398" t="s">
        <v>326</v>
      </c>
      <c r="M9" s="399" t="s">
        <v>327</v>
      </c>
      <c r="N9" s="37"/>
      <c r="O9" s="38"/>
      <c r="P9" s="392" t="s">
        <v>91</v>
      </c>
      <c r="Q9" s="392" t="s">
        <v>92</v>
      </c>
      <c r="R9" s="38"/>
      <c r="S9" s="38"/>
    </row>
    <row r="10" spans="1:19" s="39" customFormat="1" ht="15">
      <c r="A10" s="327" t="s">
        <v>31</v>
      </c>
      <c r="B10" s="328" t="s">
        <v>32</v>
      </c>
      <c r="C10" s="329" t="s">
        <v>93</v>
      </c>
      <c r="D10" s="329" t="s">
        <v>94</v>
      </c>
      <c r="E10" s="330" t="s">
        <v>94</v>
      </c>
      <c r="F10" s="330" t="s">
        <v>95</v>
      </c>
      <c r="G10" s="330" t="s">
        <v>96</v>
      </c>
      <c r="H10" s="331" t="s">
        <v>97</v>
      </c>
      <c r="I10" s="332" t="s">
        <v>98</v>
      </c>
      <c r="J10" s="331" t="s">
        <v>99</v>
      </c>
      <c r="K10" s="333" t="s">
        <v>98</v>
      </c>
      <c r="L10" s="398"/>
      <c r="M10" s="399"/>
      <c r="N10" s="37"/>
      <c r="O10" s="38"/>
      <c r="P10" s="392"/>
      <c r="Q10" s="392"/>
      <c r="R10" s="38"/>
      <c r="S10" s="38"/>
    </row>
    <row r="11" spans="1:19" s="39" customFormat="1" ht="15.75" thickBot="1">
      <c r="A11" s="334"/>
      <c r="B11" s="335"/>
      <c r="C11" s="336" t="s">
        <v>100</v>
      </c>
      <c r="D11" s="336" t="s">
        <v>101</v>
      </c>
      <c r="E11" s="337" t="s">
        <v>102</v>
      </c>
      <c r="F11" s="337" t="s">
        <v>103</v>
      </c>
      <c r="G11" s="337" t="s">
        <v>104</v>
      </c>
      <c r="H11" s="338"/>
      <c r="I11" s="339"/>
      <c r="J11" s="340"/>
      <c r="K11" s="341"/>
      <c r="L11" s="398"/>
      <c r="M11" s="399"/>
      <c r="N11" s="37"/>
      <c r="O11" s="38"/>
      <c r="P11" s="392"/>
      <c r="Q11" s="392"/>
      <c r="R11" s="38"/>
      <c r="S11" s="38"/>
    </row>
    <row r="12" spans="1:19" ht="15.75">
      <c r="A12" s="342" t="s">
        <v>34</v>
      </c>
      <c r="B12" s="343" t="s">
        <v>35</v>
      </c>
      <c r="C12" s="344">
        <v>1</v>
      </c>
      <c r="D12" s="345">
        <v>25000</v>
      </c>
      <c r="E12" s="345">
        <v>15700</v>
      </c>
      <c r="F12" s="345"/>
      <c r="G12" s="345"/>
      <c r="H12" s="346">
        <f aca="true" t="shared" si="0" ref="H12:H32">D12+E12+F12+G12</f>
        <v>40700</v>
      </c>
      <c r="I12" s="347">
        <f>D12+E12</f>
        <v>40700</v>
      </c>
      <c r="J12" s="348">
        <f aca="true" t="shared" si="1" ref="J12:J32">I12*0.083</f>
        <v>3378.1000000000004</v>
      </c>
      <c r="K12" s="349">
        <f>I12+J12</f>
        <v>44078.1</v>
      </c>
      <c r="L12" s="320">
        <f>I12*0.202</f>
        <v>8221.4</v>
      </c>
      <c r="M12" s="183">
        <f>J12*0.202</f>
        <v>682.3762000000002</v>
      </c>
      <c r="N12" s="40">
        <f aca="true" t="shared" si="2" ref="N12:N32">K12*1.202</f>
        <v>52981.8762</v>
      </c>
      <c r="O12" s="41"/>
      <c r="P12" s="41"/>
      <c r="Q12" s="42"/>
      <c r="R12" s="42"/>
      <c r="S12" s="43">
        <f aca="true" t="shared" si="3" ref="S12:S32">H12*0.87</f>
        <v>35409</v>
      </c>
    </row>
    <row r="13" spans="1:19" ht="15.75">
      <c r="A13" s="350" t="s">
        <v>36</v>
      </c>
      <c r="B13" s="351" t="s">
        <v>37</v>
      </c>
      <c r="C13" s="352">
        <v>1</v>
      </c>
      <c r="D13" s="353">
        <v>21100</v>
      </c>
      <c r="E13" s="353">
        <v>18100</v>
      </c>
      <c r="F13" s="353"/>
      <c r="G13" s="353"/>
      <c r="H13" s="354">
        <f t="shared" si="0"/>
        <v>39200</v>
      </c>
      <c r="I13" s="355">
        <f>H13</f>
        <v>39200</v>
      </c>
      <c r="J13" s="356">
        <f t="shared" si="1"/>
        <v>3253.6000000000004</v>
      </c>
      <c r="K13" s="357">
        <f>I13+J13</f>
        <v>42453.6</v>
      </c>
      <c r="L13" s="320">
        <f aca="true" t="shared" si="4" ref="L13:L32">I13*0.202</f>
        <v>7918.400000000001</v>
      </c>
      <c r="M13" s="183">
        <f aca="true" t="shared" si="5" ref="M13:M32">J13*0.202</f>
        <v>657.2272000000002</v>
      </c>
      <c r="N13" s="40">
        <f t="shared" si="2"/>
        <v>51029.227199999994</v>
      </c>
      <c r="O13" s="41"/>
      <c r="P13" s="41"/>
      <c r="Q13" s="42"/>
      <c r="R13" s="42"/>
      <c r="S13" s="43">
        <f t="shared" si="3"/>
        <v>34104</v>
      </c>
    </row>
    <row r="14" spans="1:19" ht="15.75">
      <c r="A14" s="350" t="s">
        <v>38</v>
      </c>
      <c r="B14" s="351" t="s">
        <v>75</v>
      </c>
      <c r="C14" s="352">
        <v>1</v>
      </c>
      <c r="D14" s="353">
        <v>27300</v>
      </c>
      <c r="E14" s="353"/>
      <c r="F14" s="353"/>
      <c r="G14" s="353"/>
      <c r="H14" s="354">
        <f t="shared" si="0"/>
        <v>27300</v>
      </c>
      <c r="I14" s="355">
        <f>H14*C14</f>
        <v>27300</v>
      </c>
      <c r="J14" s="356">
        <f t="shared" si="1"/>
        <v>2265.9</v>
      </c>
      <c r="K14" s="357">
        <f aca="true" t="shared" si="6" ref="K14:K32">I14+J14</f>
        <v>29565.9</v>
      </c>
      <c r="L14" s="320">
        <f t="shared" si="4"/>
        <v>5514.6</v>
      </c>
      <c r="M14" s="183">
        <f t="shared" si="5"/>
        <v>457.71180000000004</v>
      </c>
      <c r="N14" s="40">
        <f t="shared" si="2"/>
        <v>35538.2118</v>
      </c>
      <c r="O14" s="44">
        <f>(I14*2)*1.202</f>
        <v>65629.2</v>
      </c>
      <c r="P14" s="44">
        <v>65500</v>
      </c>
      <c r="Q14" s="44">
        <f>N14:N15-P14</f>
        <v>-29961.788200000003</v>
      </c>
      <c r="R14" s="41">
        <f>SUM(Q14:Q15)</f>
        <v>5576.423599999995</v>
      </c>
      <c r="S14" s="43">
        <f t="shared" si="3"/>
        <v>23751</v>
      </c>
    </row>
    <row r="15" spans="1:19" ht="15.75">
      <c r="A15" s="350" t="s">
        <v>40</v>
      </c>
      <c r="B15" s="351" t="s">
        <v>75</v>
      </c>
      <c r="C15" s="352">
        <v>1</v>
      </c>
      <c r="D15" s="353">
        <v>12000</v>
      </c>
      <c r="E15" s="353">
        <v>15300</v>
      </c>
      <c r="F15" s="353"/>
      <c r="G15" s="353"/>
      <c r="H15" s="354">
        <f t="shared" si="0"/>
        <v>27300</v>
      </c>
      <c r="I15" s="355">
        <f>H15*C15</f>
        <v>27300</v>
      </c>
      <c r="J15" s="356">
        <f t="shared" si="1"/>
        <v>2265.9</v>
      </c>
      <c r="K15" s="357">
        <f t="shared" si="6"/>
        <v>29565.9</v>
      </c>
      <c r="L15" s="320">
        <f t="shared" si="4"/>
        <v>5514.6</v>
      </c>
      <c r="M15" s="183">
        <f t="shared" si="5"/>
        <v>457.71180000000004</v>
      </c>
      <c r="N15" s="40">
        <f t="shared" si="2"/>
        <v>35538.2118</v>
      </c>
      <c r="O15" s="44"/>
      <c r="P15" s="44"/>
      <c r="Q15" s="44">
        <f>N15:N16-P15</f>
        <v>35538.2118</v>
      </c>
      <c r="R15" s="42"/>
      <c r="S15" s="43">
        <f t="shared" si="3"/>
        <v>23751</v>
      </c>
    </row>
    <row r="16" spans="1:19" ht="15.75">
      <c r="A16" s="358" t="s">
        <v>41</v>
      </c>
      <c r="B16" s="359" t="s">
        <v>42</v>
      </c>
      <c r="C16" s="360">
        <v>1</v>
      </c>
      <c r="D16" s="361">
        <v>12100</v>
      </c>
      <c r="E16" s="361"/>
      <c r="F16" s="361"/>
      <c r="G16" s="361"/>
      <c r="H16" s="354">
        <f t="shared" si="0"/>
        <v>12100</v>
      </c>
      <c r="I16" s="355">
        <f>H16*C16</f>
        <v>12100</v>
      </c>
      <c r="J16" s="356">
        <f t="shared" si="1"/>
        <v>1004.3000000000001</v>
      </c>
      <c r="K16" s="357">
        <f t="shared" si="6"/>
        <v>13104.3</v>
      </c>
      <c r="L16" s="320">
        <f t="shared" si="4"/>
        <v>2444.2000000000003</v>
      </c>
      <c r="M16" s="183">
        <f t="shared" si="5"/>
        <v>202.86860000000001</v>
      </c>
      <c r="N16" s="40">
        <f t="shared" si="2"/>
        <v>15751.368599999998</v>
      </c>
      <c r="O16" s="41"/>
      <c r="P16" s="41"/>
      <c r="Q16" s="44"/>
      <c r="R16" s="42"/>
      <c r="S16" s="43">
        <f t="shared" si="3"/>
        <v>10527</v>
      </c>
    </row>
    <row r="17" spans="1:19" ht="15.75">
      <c r="A17" s="358" t="s">
        <v>43</v>
      </c>
      <c r="B17" s="359" t="s">
        <v>105</v>
      </c>
      <c r="C17" s="360">
        <v>1</v>
      </c>
      <c r="D17" s="361">
        <v>13700</v>
      </c>
      <c r="E17" s="361">
        <v>8800</v>
      </c>
      <c r="F17" s="361"/>
      <c r="G17" s="361"/>
      <c r="H17" s="354">
        <f t="shared" si="0"/>
        <v>22500</v>
      </c>
      <c r="I17" s="355">
        <v>22600</v>
      </c>
      <c r="J17" s="356">
        <f t="shared" si="1"/>
        <v>1875.8000000000002</v>
      </c>
      <c r="K17" s="357">
        <f t="shared" si="6"/>
        <v>24475.8</v>
      </c>
      <c r="L17" s="320">
        <f t="shared" si="4"/>
        <v>4565.200000000001</v>
      </c>
      <c r="M17" s="183">
        <f t="shared" si="5"/>
        <v>378.9116000000001</v>
      </c>
      <c r="N17" s="40">
        <f t="shared" si="2"/>
        <v>29419.9116</v>
      </c>
      <c r="O17" s="41"/>
      <c r="P17" s="41">
        <v>20000</v>
      </c>
      <c r="Q17" s="44">
        <f>N17:N18-P17</f>
        <v>9419.9116</v>
      </c>
      <c r="R17" s="42"/>
      <c r="S17" s="43">
        <f t="shared" si="3"/>
        <v>19575</v>
      </c>
    </row>
    <row r="18" spans="1:19" ht="15.75">
      <c r="A18" s="362" t="s">
        <v>45</v>
      </c>
      <c r="B18" s="363" t="s">
        <v>46</v>
      </c>
      <c r="C18" s="360">
        <v>3</v>
      </c>
      <c r="D18" s="361">
        <v>19600</v>
      </c>
      <c r="E18" s="361"/>
      <c r="F18" s="361"/>
      <c r="G18" s="361"/>
      <c r="H18" s="354">
        <f t="shared" si="0"/>
        <v>19600</v>
      </c>
      <c r="I18" s="355">
        <f aca="true" t="shared" si="7" ref="I18:I32">H18*C18</f>
        <v>58800</v>
      </c>
      <c r="J18" s="356">
        <f t="shared" si="1"/>
        <v>4880.400000000001</v>
      </c>
      <c r="K18" s="357">
        <f t="shared" si="6"/>
        <v>63680.4</v>
      </c>
      <c r="L18" s="320">
        <f t="shared" si="4"/>
        <v>11877.6</v>
      </c>
      <c r="M18" s="183">
        <f t="shared" si="5"/>
        <v>985.8408000000002</v>
      </c>
      <c r="N18" s="40">
        <f t="shared" si="2"/>
        <v>76543.8408</v>
      </c>
      <c r="O18" s="41"/>
      <c r="P18" s="41"/>
      <c r="Q18" s="42"/>
      <c r="R18" s="42"/>
      <c r="S18" s="43">
        <f t="shared" si="3"/>
        <v>17052</v>
      </c>
    </row>
    <row r="19" spans="1:21" ht="15.75">
      <c r="A19" s="364" t="s">
        <v>47</v>
      </c>
      <c r="B19" s="363" t="s">
        <v>46</v>
      </c>
      <c r="C19" s="360">
        <v>1</v>
      </c>
      <c r="D19" s="361"/>
      <c r="E19" s="361">
        <v>19600</v>
      </c>
      <c r="F19" s="361"/>
      <c r="G19" s="361"/>
      <c r="H19" s="354">
        <f t="shared" si="0"/>
        <v>19600</v>
      </c>
      <c r="I19" s="355">
        <f t="shared" si="7"/>
        <v>19600</v>
      </c>
      <c r="J19" s="356">
        <f t="shared" si="1"/>
        <v>1626.8000000000002</v>
      </c>
      <c r="K19" s="357">
        <f t="shared" si="6"/>
        <v>21226.8</v>
      </c>
      <c r="L19" s="320">
        <f t="shared" si="4"/>
        <v>3959.2000000000003</v>
      </c>
      <c r="M19" s="183">
        <f t="shared" si="5"/>
        <v>328.6136000000001</v>
      </c>
      <c r="N19" s="40">
        <f t="shared" si="2"/>
        <v>25514.613599999997</v>
      </c>
      <c r="O19" s="41"/>
      <c r="P19" s="41"/>
      <c r="Q19" s="42"/>
      <c r="R19" s="42"/>
      <c r="S19" s="43">
        <f t="shared" si="3"/>
        <v>17052</v>
      </c>
      <c r="U19">
        <f>3500+7500</f>
        <v>11000</v>
      </c>
    </row>
    <row r="20" spans="1:19" ht="30">
      <c r="A20" s="365" t="s">
        <v>48</v>
      </c>
      <c r="B20" s="366" t="s">
        <v>49</v>
      </c>
      <c r="C20" s="352">
        <v>1</v>
      </c>
      <c r="D20" s="353">
        <v>19600</v>
      </c>
      <c r="E20" s="353">
        <v>6300</v>
      </c>
      <c r="F20" s="353"/>
      <c r="G20" s="353"/>
      <c r="H20" s="354">
        <f t="shared" si="0"/>
        <v>25900</v>
      </c>
      <c r="I20" s="355">
        <f t="shared" si="7"/>
        <v>25900</v>
      </c>
      <c r="J20" s="356">
        <f t="shared" si="1"/>
        <v>2149.7000000000003</v>
      </c>
      <c r="K20" s="357">
        <f t="shared" si="6"/>
        <v>28049.7</v>
      </c>
      <c r="L20" s="320">
        <f t="shared" si="4"/>
        <v>5231.8</v>
      </c>
      <c r="M20" s="183">
        <f t="shared" si="5"/>
        <v>434.2394000000001</v>
      </c>
      <c r="N20" s="40">
        <f t="shared" si="2"/>
        <v>33715.7394</v>
      </c>
      <c r="O20" s="41"/>
      <c r="P20" s="41"/>
      <c r="Q20" s="42"/>
      <c r="R20" s="42"/>
      <c r="S20" s="43">
        <f t="shared" si="3"/>
        <v>22533</v>
      </c>
    </row>
    <row r="21" spans="1:19" ht="15.75">
      <c r="A21" s="364" t="s">
        <v>50</v>
      </c>
      <c r="B21" s="363" t="s">
        <v>51</v>
      </c>
      <c r="C21" s="344">
        <v>1</v>
      </c>
      <c r="D21" s="345">
        <v>12600</v>
      </c>
      <c r="E21" s="345">
        <v>7000</v>
      </c>
      <c r="F21" s="345"/>
      <c r="G21" s="345">
        <v>6300</v>
      </c>
      <c r="H21" s="354">
        <f t="shared" si="0"/>
        <v>25900</v>
      </c>
      <c r="I21" s="355">
        <f t="shared" si="7"/>
        <v>25900</v>
      </c>
      <c r="J21" s="356">
        <f t="shared" si="1"/>
        <v>2149.7000000000003</v>
      </c>
      <c r="K21" s="357">
        <f t="shared" si="6"/>
        <v>28049.7</v>
      </c>
      <c r="L21" s="320">
        <f t="shared" si="4"/>
        <v>5231.8</v>
      </c>
      <c r="M21" s="183">
        <f t="shared" si="5"/>
        <v>434.2394000000001</v>
      </c>
      <c r="N21" s="40">
        <f t="shared" si="2"/>
        <v>33715.7394</v>
      </c>
      <c r="O21" s="41"/>
      <c r="P21" s="41">
        <f>15000*1.202</f>
        <v>18030</v>
      </c>
      <c r="Q21" s="41">
        <f>N21-P21</f>
        <v>15685.739399999999</v>
      </c>
      <c r="R21" s="42"/>
      <c r="S21" s="43">
        <f t="shared" si="3"/>
        <v>22533</v>
      </c>
    </row>
    <row r="22" spans="1:19" ht="15.75">
      <c r="A22" s="362" t="s">
        <v>52</v>
      </c>
      <c r="B22" s="367" t="s">
        <v>53</v>
      </c>
      <c r="C22" s="344">
        <v>2</v>
      </c>
      <c r="D22" s="345">
        <v>11400</v>
      </c>
      <c r="E22" s="345">
        <v>3100</v>
      </c>
      <c r="F22" s="345">
        <v>2000</v>
      </c>
      <c r="G22" s="345"/>
      <c r="H22" s="354">
        <f t="shared" si="0"/>
        <v>16500</v>
      </c>
      <c r="I22" s="355">
        <f t="shared" si="7"/>
        <v>33000</v>
      </c>
      <c r="J22" s="356">
        <f t="shared" si="1"/>
        <v>2739</v>
      </c>
      <c r="K22" s="357">
        <f t="shared" si="6"/>
        <v>35739</v>
      </c>
      <c r="L22" s="320">
        <f t="shared" si="4"/>
        <v>6666</v>
      </c>
      <c r="M22" s="183">
        <f t="shared" si="5"/>
        <v>553.278</v>
      </c>
      <c r="N22" s="40">
        <f t="shared" si="2"/>
        <v>42958.278</v>
      </c>
      <c r="O22" s="41"/>
      <c r="P22" s="41"/>
      <c r="Q22" s="42"/>
      <c r="R22" s="42"/>
      <c r="S22" s="43">
        <f t="shared" si="3"/>
        <v>14355</v>
      </c>
    </row>
    <row r="23" spans="1:19" ht="15.75">
      <c r="A23" s="362" t="s">
        <v>54</v>
      </c>
      <c r="B23" s="363" t="s">
        <v>55</v>
      </c>
      <c r="C23" s="352">
        <v>2</v>
      </c>
      <c r="D23" s="353">
        <v>10100</v>
      </c>
      <c r="E23" s="353">
        <v>550</v>
      </c>
      <c r="F23" s="353">
        <v>2000</v>
      </c>
      <c r="G23" s="353"/>
      <c r="H23" s="354">
        <f t="shared" si="0"/>
        <v>12650</v>
      </c>
      <c r="I23" s="355">
        <f t="shared" si="7"/>
        <v>25300</v>
      </c>
      <c r="J23" s="356">
        <f t="shared" si="1"/>
        <v>2099.9</v>
      </c>
      <c r="K23" s="357">
        <f t="shared" si="6"/>
        <v>27399.9</v>
      </c>
      <c r="L23" s="320">
        <f t="shared" si="4"/>
        <v>5110.6</v>
      </c>
      <c r="M23" s="183">
        <f t="shared" si="5"/>
        <v>424.17980000000006</v>
      </c>
      <c r="N23" s="40">
        <f t="shared" si="2"/>
        <v>32934.6798</v>
      </c>
      <c r="O23" s="41"/>
      <c r="P23" s="41"/>
      <c r="Q23" s="42"/>
      <c r="R23" s="42"/>
      <c r="S23" s="43">
        <f t="shared" si="3"/>
        <v>11005.5</v>
      </c>
    </row>
    <row r="24" spans="1:19" ht="15.75">
      <c r="A24" s="362" t="s">
        <v>56</v>
      </c>
      <c r="B24" s="363" t="s">
        <v>57</v>
      </c>
      <c r="C24" s="352">
        <v>2</v>
      </c>
      <c r="D24" s="353">
        <v>10100</v>
      </c>
      <c r="E24" s="353">
        <v>3100</v>
      </c>
      <c r="F24" s="353">
        <v>2000</v>
      </c>
      <c r="G24" s="353"/>
      <c r="H24" s="354">
        <f t="shared" si="0"/>
        <v>15200</v>
      </c>
      <c r="I24" s="355">
        <f t="shared" si="7"/>
        <v>30400</v>
      </c>
      <c r="J24" s="356">
        <f t="shared" si="1"/>
        <v>2523.2000000000003</v>
      </c>
      <c r="K24" s="357">
        <f t="shared" si="6"/>
        <v>32923.2</v>
      </c>
      <c r="L24" s="320">
        <f t="shared" si="4"/>
        <v>6140.8</v>
      </c>
      <c r="M24" s="183">
        <f t="shared" si="5"/>
        <v>509.6864000000001</v>
      </c>
      <c r="N24" s="40">
        <f t="shared" si="2"/>
        <v>39573.6864</v>
      </c>
      <c r="O24" s="41"/>
      <c r="P24" s="41"/>
      <c r="Q24" s="42"/>
      <c r="R24" s="42"/>
      <c r="S24" s="43">
        <f t="shared" si="3"/>
        <v>13224</v>
      </c>
    </row>
    <row r="25" spans="1:19" ht="15.75">
      <c r="A25" s="362" t="s">
        <v>58</v>
      </c>
      <c r="B25" s="363" t="s">
        <v>59</v>
      </c>
      <c r="C25" s="352">
        <v>2</v>
      </c>
      <c r="D25" s="353">
        <v>5700</v>
      </c>
      <c r="E25" s="353">
        <v>1550</v>
      </c>
      <c r="F25" s="353">
        <v>1000</v>
      </c>
      <c r="G25" s="353"/>
      <c r="H25" s="354">
        <f t="shared" si="0"/>
        <v>8250</v>
      </c>
      <c r="I25" s="355">
        <f t="shared" si="7"/>
        <v>16500</v>
      </c>
      <c r="J25" s="356">
        <f t="shared" si="1"/>
        <v>1369.5</v>
      </c>
      <c r="K25" s="357">
        <f t="shared" si="6"/>
        <v>17869.5</v>
      </c>
      <c r="L25" s="320">
        <f t="shared" si="4"/>
        <v>3333</v>
      </c>
      <c r="M25" s="183">
        <f t="shared" si="5"/>
        <v>276.639</v>
      </c>
      <c r="N25" s="40">
        <f t="shared" si="2"/>
        <v>21479.139</v>
      </c>
      <c r="O25" s="41"/>
      <c r="P25" s="41"/>
      <c r="Q25" s="42"/>
      <c r="R25" s="42"/>
      <c r="S25" s="43">
        <f t="shared" si="3"/>
        <v>7177.5</v>
      </c>
    </row>
    <row r="26" spans="1:19" ht="15.75">
      <c r="A26" s="362" t="s">
        <v>60</v>
      </c>
      <c r="B26" s="363" t="s">
        <v>61</v>
      </c>
      <c r="C26" s="352">
        <v>2</v>
      </c>
      <c r="D26" s="353">
        <v>10100</v>
      </c>
      <c r="E26" s="353">
        <v>3100</v>
      </c>
      <c r="F26" s="353">
        <v>2000</v>
      </c>
      <c r="G26" s="353"/>
      <c r="H26" s="354">
        <f t="shared" si="0"/>
        <v>15200</v>
      </c>
      <c r="I26" s="355">
        <f t="shared" si="7"/>
        <v>30400</v>
      </c>
      <c r="J26" s="356">
        <f t="shared" si="1"/>
        <v>2523.2000000000003</v>
      </c>
      <c r="K26" s="357">
        <f t="shared" si="6"/>
        <v>32923.2</v>
      </c>
      <c r="L26" s="320">
        <f t="shared" si="4"/>
        <v>6140.8</v>
      </c>
      <c r="M26" s="183">
        <f t="shared" si="5"/>
        <v>509.6864000000001</v>
      </c>
      <c r="N26" s="40">
        <f t="shared" si="2"/>
        <v>39573.6864</v>
      </c>
      <c r="O26" s="41"/>
      <c r="P26" s="41"/>
      <c r="Q26" s="42"/>
      <c r="R26" s="42"/>
      <c r="S26" s="43">
        <f t="shared" si="3"/>
        <v>13224</v>
      </c>
    </row>
    <row r="27" spans="1:19" ht="15.75">
      <c r="A27" s="362" t="s">
        <v>62</v>
      </c>
      <c r="B27" s="363" t="s">
        <v>106</v>
      </c>
      <c r="C27" s="352">
        <v>7</v>
      </c>
      <c r="D27" s="353">
        <v>3300</v>
      </c>
      <c r="E27" s="353"/>
      <c r="F27" s="353"/>
      <c r="G27" s="353"/>
      <c r="H27" s="354">
        <f t="shared" si="0"/>
        <v>3300</v>
      </c>
      <c r="I27" s="355">
        <f t="shared" si="7"/>
        <v>23100</v>
      </c>
      <c r="J27" s="356">
        <f t="shared" si="1"/>
        <v>1917.3000000000002</v>
      </c>
      <c r="K27" s="357">
        <f t="shared" si="6"/>
        <v>25017.3</v>
      </c>
      <c r="L27" s="320">
        <f t="shared" si="4"/>
        <v>4666.200000000001</v>
      </c>
      <c r="M27" s="183">
        <f t="shared" si="5"/>
        <v>387.29460000000006</v>
      </c>
      <c r="N27" s="40">
        <f t="shared" si="2"/>
        <v>30070.794599999997</v>
      </c>
      <c r="O27" s="41"/>
      <c r="P27" s="41"/>
      <c r="Q27" s="42"/>
      <c r="R27" s="42"/>
      <c r="S27" s="43">
        <f t="shared" si="3"/>
        <v>2871</v>
      </c>
    </row>
    <row r="28" spans="1:19" ht="15.75">
      <c r="A28" s="362" t="s">
        <v>64</v>
      </c>
      <c r="B28" s="363" t="s">
        <v>107</v>
      </c>
      <c r="C28" s="352">
        <v>6</v>
      </c>
      <c r="D28" s="353">
        <v>3300</v>
      </c>
      <c r="E28" s="353"/>
      <c r="F28" s="353"/>
      <c r="G28" s="353"/>
      <c r="H28" s="354">
        <f t="shared" si="0"/>
        <v>3300</v>
      </c>
      <c r="I28" s="355">
        <f t="shared" si="7"/>
        <v>19800</v>
      </c>
      <c r="J28" s="356">
        <f t="shared" si="1"/>
        <v>1643.4</v>
      </c>
      <c r="K28" s="357">
        <f t="shared" si="6"/>
        <v>21443.4</v>
      </c>
      <c r="L28" s="320">
        <f t="shared" si="4"/>
        <v>3999.6000000000004</v>
      </c>
      <c r="M28" s="183">
        <f t="shared" si="5"/>
        <v>331.96680000000003</v>
      </c>
      <c r="N28" s="40">
        <f t="shared" si="2"/>
        <v>25774.966800000002</v>
      </c>
      <c r="O28" s="41"/>
      <c r="P28" s="41"/>
      <c r="Q28" s="42"/>
      <c r="R28" s="42"/>
      <c r="S28" s="43">
        <f t="shared" si="3"/>
        <v>2871</v>
      </c>
    </row>
    <row r="29" spans="1:19" ht="15.75">
      <c r="A29" s="362" t="s">
        <v>66</v>
      </c>
      <c r="B29" s="363" t="s">
        <v>108</v>
      </c>
      <c r="C29" s="352">
        <v>7</v>
      </c>
      <c r="D29" s="353">
        <v>3800</v>
      </c>
      <c r="E29" s="353"/>
      <c r="F29" s="353"/>
      <c r="G29" s="353"/>
      <c r="H29" s="354">
        <f t="shared" si="0"/>
        <v>3800</v>
      </c>
      <c r="I29" s="355">
        <f t="shared" si="7"/>
        <v>26600</v>
      </c>
      <c r="J29" s="356">
        <f t="shared" si="1"/>
        <v>2207.8</v>
      </c>
      <c r="K29" s="357">
        <f t="shared" si="6"/>
        <v>28807.8</v>
      </c>
      <c r="L29" s="320">
        <f t="shared" si="4"/>
        <v>5373.200000000001</v>
      </c>
      <c r="M29" s="183">
        <f t="shared" si="5"/>
        <v>445.97560000000004</v>
      </c>
      <c r="N29" s="40">
        <f t="shared" si="2"/>
        <v>34626.9756</v>
      </c>
      <c r="O29" s="41"/>
      <c r="P29" s="41"/>
      <c r="Q29" s="42"/>
      <c r="R29" s="42"/>
      <c r="S29" s="43">
        <f t="shared" si="3"/>
        <v>3306</v>
      </c>
    </row>
    <row r="30" spans="1:19" ht="15.75">
      <c r="A30" s="362" t="s">
        <v>68</v>
      </c>
      <c r="B30" s="363" t="s">
        <v>109</v>
      </c>
      <c r="C30" s="360">
        <v>5</v>
      </c>
      <c r="D30" s="361">
        <v>3800</v>
      </c>
      <c r="E30" s="353"/>
      <c r="F30" s="353"/>
      <c r="G30" s="353"/>
      <c r="H30" s="354">
        <f t="shared" si="0"/>
        <v>3800</v>
      </c>
      <c r="I30" s="355">
        <f t="shared" si="7"/>
        <v>19000</v>
      </c>
      <c r="J30" s="356">
        <f t="shared" si="1"/>
        <v>1577</v>
      </c>
      <c r="K30" s="357">
        <f t="shared" si="6"/>
        <v>20577</v>
      </c>
      <c r="L30" s="320">
        <f t="shared" si="4"/>
        <v>3838.0000000000005</v>
      </c>
      <c r="M30" s="183">
        <f t="shared" si="5"/>
        <v>318.55400000000003</v>
      </c>
      <c r="N30" s="40">
        <f t="shared" si="2"/>
        <v>24733.554</v>
      </c>
      <c r="O30" s="41"/>
      <c r="P30" s="41"/>
      <c r="Q30" s="42"/>
      <c r="R30" s="42"/>
      <c r="S30" s="43">
        <f t="shared" si="3"/>
        <v>3306</v>
      </c>
    </row>
    <row r="31" spans="1:19" ht="15.75">
      <c r="A31" s="362" t="s">
        <v>70</v>
      </c>
      <c r="B31" s="363" t="s">
        <v>110</v>
      </c>
      <c r="C31" s="360">
        <v>6</v>
      </c>
      <c r="D31" s="361">
        <v>3800</v>
      </c>
      <c r="E31" s="361"/>
      <c r="F31" s="361"/>
      <c r="G31" s="361"/>
      <c r="H31" s="354">
        <f t="shared" si="0"/>
        <v>3800</v>
      </c>
      <c r="I31" s="355">
        <f t="shared" si="7"/>
        <v>22800</v>
      </c>
      <c r="J31" s="356">
        <f t="shared" si="1"/>
        <v>1892.4</v>
      </c>
      <c r="K31" s="357">
        <f t="shared" si="6"/>
        <v>24692.4</v>
      </c>
      <c r="L31" s="320">
        <f t="shared" si="4"/>
        <v>4605.6</v>
      </c>
      <c r="M31" s="183">
        <f t="shared" si="5"/>
        <v>382.26480000000004</v>
      </c>
      <c r="N31" s="40">
        <f t="shared" si="2"/>
        <v>29680.2648</v>
      </c>
      <c r="O31" s="41"/>
      <c r="P31" s="41"/>
      <c r="Q31" s="42"/>
      <c r="R31" s="42"/>
      <c r="S31" s="43">
        <f t="shared" si="3"/>
        <v>3306</v>
      </c>
    </row>
    <row r="32" spans="1:19" ht="16.5" thickBot="1">
      <c r="A32" s="362" t="s">
        <v>72</v>
      </c>
      <c r="B32" s="368" t="s">
        <v>73</v>
      </c>
      <c r="C32" s="360">
        <v>1</v>
      </c>
      <c r="D32" s="361">
        <v>8500</v>
      </c>
      <c r="E32" s="361">
        <v>600</v>
      </c>
      <c r="F32" s="361"/>
      <c r="G32" s="361"/>
      <c r="H32" s="369">
        <f t="shared" si="0"/>
        <v>9100</v>
      </c>
      <c r="I32" s="370">
        <f t="shared" si="7"/>
        <v>9100</v>
      </c>
      <c r="J32" s="371">
        <f t="shared" si="1"/>
        <v>755.3000000000001</v>
      </c>
      <c r="K32" s="372">
        <f t="shared" si="6"/>
        <v>9855.3</v>
      </c>
      <c r="L32" s="320">
        <f t="shared" si="4"/>
        <v>1838.2</v>
      </c>
      <c r="M32" s="183">
        <f t="shared" si="5"/>
        <v>152.5706</v>
      </c>
      <c r="N32" s="40">
        <f t="shared" si="2"/>
        <v>11846.0706</v>
      </c>
      <c r="O32" s="41"/>
      <c r="P32" s="41"/>
      <c r="Q32" s="42"/>
      <c r="R32" s="42"/>
      <c r="S32" s="43">
        <f t="shared" si="3"/>
        <v>7917</v>
      </c>
    </row>
    <row r="33" spans="1:19" ht="16.5" thickBot="1">
      <c r="A33" s="393"/>
      <c r="B33" s="394"/>
      <c r="C33" s="373">
        <f>SUM(C12:C32)</f>
        <v>54</v>
      </c>
      <c r="D33" s="374"/>
      <c r="E33" s="374"/>
      <c r="F33" s="374"/>
      <c r="G33" s="374"/>
      <c r="H33" s="375"/>
      <c r="I33" s="376">
        <f aca="true" t="shared" si="8" ref="I33:R33">SUM(I12:I32)</f>
        <v>555400</v>
      </c>
      <c r="J33" s="377">
        <f t="shared" si="8"/>
        <v>46098.20000000001</v>
      </c>
      <c r="K33" s="378">
        <f t="shared" si="8"/>
        <v>601498.2000000002</v>
      </c>
      <c r="L33" s="184">
        <f t="shared" si="8"/>
        <v>112190.80000000002</v>
      </c>
      <c r="M33" s="184">
        <f>SUM(M12:M32)</f>
        <v>9311.836400000004</v>
      </c>
      <c r="N33" s="184">
        <f>SUM(N12:N32)</f>
        <v>723000.8364</v>
      </c>
      <c r="O33" s="45">
        <f t="shared" si="8"/>
        <v>65629.2</v>
      </c>
      <c r="P33" s="45">
        <f t="shared" si="8"/>
        <v>103530</v>
      </c>
      <c r="Q33" s="45">
        <f t="shared" si="8"/>
        <v>30682.074599999993</v>
      </c>
      <c r="R33" s="45">
        <f t="shared" si="8"/>
        <v>5576.423599999995</v>
      </c>
      <c r="S33" s="45"/>
    </row>
    <row r="34" spans="1:14" ht="15.75">
      <c r="A34" s="21"/>
      <c r="B34" s="21" t="s">
        <v>35</v>
      </c>
      <c r="J34" s="385" t="s">
        <v>74</v>
      </c>
      <c r="K34" s="385"/>
      <c r="N34" s="46">
        <f>N33*1.1</f>
        <v>795300.9200400001</v>
      </c>
    </row>
    <row r="35" ht="15.75">
      <c r="N35" s="21">
        <f>N34*12</f>
        <v>9543611.04048</v>
      </c>
    </row>
    <row r="36" spans="1:13" ht="15.75">
      <c r="A36" s="21"/>
      <c r="B36" s="21" t="s">
        <v>75</v>
      </c>
      <c r="J36" s="381"/>
      <c r="K36" s="381"/>
      <c r="L36" s="155"/>
      <c r="M36" s="155"/>
    </row>
  </sheetData>
  <sheetProtection/>
  <mergeCells count="18">
    <mergeCell ref="L9:L11"/>
    <mergeCell ref="M9:M11"/>
    <mergeCell ref="B1:H1"/>
    <mergeCell ref="E3:H3"/>
    <mergeCell ref="I3:K3"/>
    <mergeCell ref="A4:C4"/>
    <mergeCell ref="E4:H4"/>
    <mergeCell ref="I4:K4"/>
    <mergeCell ref="Q9:Q11"/>
    <mergeCell ref="A33:B33"/>
    <mergeCell ref="J34:K34"/>
    <mergeCell ref="J36:K36"/>
    <mergeCell ref="I5:K5"/>
    <mergeCell ref="H6:K6"/>
    <mergeCell ref="A7:D7"/>
    <mergeCell ref="H7:K7"/>
    <mergeCell ref="D9:H9"/>
    <mergeCell ref="P9:P11"/>
  </mergeCells>
  <printOptions/>
  <pageMargins left="0.5118110236220472" right="0.5118110236220472" top="0.35433070866141736" bottom="0.15748031496062992" header="0.31496062992125984" footer="0.11811023622047245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0">
      <selection activeCell="D50" sqref="D50"/>
    </sheetView>
  </sheetViews>
  <sheetFormatPr defaultColWidth="8.796875" defaultRowHeight="14.25"/>
  <cols>
    <col min="1" max="1" width="39.19921875" style="1" customWidth="1"/>
    <col min="2" max="2" width="7.3984375" style="78" customWidth="1"/>
    <col min="3" max="3" width="7.3984375" style="1" customWidth="1"/>
    <col min="4" max="4" width="10" style="1" customWidth="1"/>
    <col min="5" max="5" width="14.09765625" style="1" customWidth="1"/>
    <col min="6" max="6" width="14.19921875" style="1" customWidth="1"/>
    <col min="7" max="7" width="14.8984375" style="1" customWidth="1"/>
    <col min="8" max="8" width="14.59765625" style="1" customWidth="1"/>
    <col min="9" max="11" width="10.69921875" style="1" customWidth="1"/>
    <col min="12" max="12" width="12.69921875" style="199" customWidth="1"/>
    <col min="13" max="13" width="14.09765625" style="1" customWidth="1"/>
    <col min="14" max="14" width="9" style="1" customWidth="1"/>
    <col min="15" max="15" width="11.59765625" style="1" customWidth="1"/>
    <col min="16" max="16" width="9" style="1" customWidth="1"/>
    <col min="17" max="16384" width="9" style="1" customWidth="1"/>
  </cols>
  <sheetData>
    <row r="1" spans="1:6" ht="15">
      <c r="A1" s="413" t="s">
        <v>111</v>
      </c>
      <c r="B1" s="413"/>
      <c r="C1" s="413"/>
      <c r="D1" s="413"/>
      <c r="E1" s="413"/>
      <c r="F1" s="413"/>
    </row>
    <row r="2" spans="1:6" ht="15">
      <c r="A2" s="414" t="s">
        <v>330</v>
      </c>
      <c r="B2" s="414"/>
      <c r="C2" s="414"/>
      <c r="D2" s="414"/>
      <c r="E2" s="414"/>
      <c r="F2" s="414"/>
    </row>
    <row r="3" spans="1:6" ht="15">
      <c r="A3" s="415"/>
      <c r="B3" s="415"/>
      <c r="C3" s="415"/>
      <c r="D3" s="415"/>
      <c r="E3" s="415"/>
      <c r="F3" s="415"/>
    </row>
    <row r="4" spans="1:6" ht="15">
      <c r="A4" s="48" t="s">
        <v>112</v>
      </c>
      <c r="B4" s="416" t="s">
        <v>113</v>
      </c>
      <c r="C4" s="416"/>
      <c r="D4" s="49" t="s">
        <v>114</v>
      </c>
      <c r="E4" s="416" t="s">
        <v>115</v>
      </c>
      <c r="F4" s="416"/>
    </row>
    <row r="5" spans="1:6" ht="15">
      <c r="A5" s="50" t="s">
        <v>116</v>
      </c>
      <c r="B5" s="51">
        <v>2017</v>
      </c>
      <c r="C5" s="51">
        <v>2018</v>
      </c>
      <c r="D5" s="52" t="s">
        <v>117</v>
      </c>
      <c r="E5" s="52" t="s">
        <v>118</v>
      </c>
      <c r="F5" s="52" t="s">
        <v>119</v>
      </c>
    </row>
    <row r="6" spans="1:12" ht="15">
      <c r="A6" s="417" t="s">
        <v>120</v>
      </c>
      <c r="B6" s="417"/>
      <c r="C6" s="417"/>
      <c r="D6" s="417"/>
      <c r="E6" s="417"/>
      <c r="F6" s="417"/>
      <c r="J6" s="1" t="s">
        <v>121</v>
      </c>
      <c r="K6" s="200" t="s">
        <v>122</v>
      </c>
      <c r="L6" s="200">
        <v>2018</v>
      </c>
    </row>
    <row r="7" spans="1:14" ht="15">
      <c r="A7" s="53" t="s">
        <v>123</v>
      </c>
      <c r="B7" s="53"/>
      <c r="C7" s="51"/>
      <c r="D7" s="51"/>
      <c r="E7" s="51"/>
      <c r="F7" s="51"/>
      <c r="G7" s="199">
        <f>G8+G21</f>
        <v>8298966.18</v>
      </c>
      <c r="J7" s="201" t="s">
        <v>124</v>
      </c>
      <c r="K7" s="202">
        <v>191603.6</v>
      </c>
      <c r="L7" s="202">
        <v>201498.78</v>
      </c>
      <c r="M7" s="201" t="s">
        <v>125</v>
      </c>
      <c r="N7" s="199">
        <f>L7-K7</f>
        <v>9895.179999999993</v>
      </c>
    </row>
    <row r="8" spans="1:13" ht="15">
      <c r="A8" s="54" t="s">
        <v>126</v>
      </c>
      <c r="B8" s="51">
        <v>4.98</v>
      </c>
      <c r="C8" s="55">
        <v>4.98</v>
      </c>
      <c r="D8" s="55">
        <f>D10+D11+D12+D13+D14</f>
        <v>90632.49999999999</v>
      </c>
      <c r="E8" s="55">
        <f>C8*D8</f>
        <v>451349.85</v>
      </c>
      <c r="F8" s="55">
        <f aca="true" t="shared" si="0" ref="F8:F18">E8*12</f>
        <v>5416198.199999999</v>
      </c>
      <c r="G8" s="203">
        <f>F8+F9</f>
        <v>6514664.1</v>
      </c>
      <c r="H8" s="203"/>
      <c r="J8" s="201" t="s">
        <v>127</v>
      </c>
      <c r="K8" s="202">
        <v>77342</v>
      </c>
      <c r="L8" s="202">
        <v>77342</v>
      </c>
      <c r="M8" s="201" t="s">
        <v>128</v>
      </c>
    </row>
    <row r="9" spans="1:12" ht="15">
      <c r="A9" s="54" t="s">
        <v>129</v>
      </c>
      <c r="B9" s="51">
        <v>1.01</v>
      </c>
      <c r="C9" s="55">
        <v>1.01</v>
      </c>
      <c r="D9" s="55"/>
      <c r="E9" s="55">
        <f>C9*D8</f>
        <v>91538.82499999998</v>
      </c>
      <c r="F9" s="55">
        <f t="shared" si="0"/>
        <v>1098465.9</v>
      </c>
      <c r="J9" s="1" t="s">
        <v>329</v>
      </c>
      <c r="L9" s="199">
        <v>25000</v>
      </c>
    </row>
    <row r="10" spans="1:15" ht="15">
      <c r="A10" s="54" t="s">
        <v>130</v>
      </c>
      <c r="B10" s="51">
        <v>1.48</v>
      </c>
      <c r="C10" s="56">
        <f>H10</f>
        <v>1.5474620865773627</v>
      </c>
      <c r="D10" s="55">
        <f>метраж!B9</f>
        <v>19389.1</v>
      </c>
      <c r="E10" s="55">
        <f>C10*D10</f>
        <v>30003.897142857142</v>
      </c>
      <c r="F10" s="55">
        <f t="shared" si="0"/>
        <v>360046.7657142857</v>
      </c>
      <c r="G10" s="204">
        <f>(L7*12+L8+L9)/12/49</f>
        <v>4286.271020408163</v>
      </c>
      <c r="H10" s="204">
        <f>G10*7/D10</f>
        <v>1.5474620865773627</v>
      </c>
      <c r="I10" s="204">
        <f>C10-B10</f>
        <v>0.06746208657736275</v>
      </c>
      <c r="J10" s="199">
        <f>I10*D10</f>
        <v>1308.0291428571438</v>
      </c>
      <c r="K10" s="205">
        <v>12.63</v>
      </c>
      <c r="L10" s="206">
        <v>19356.3</v>
      </c>
      <c r="M10" s="230">
        <f>1.55*D10</f>
        <v>30053.105</v>
      </c>
      <c r="O10" s="207">
        <f>SUM(L10:L14)</f>
        <v>90568.4</v>
      </c>
    </row>
    <row r="11" spans="1:13" ht="15">
      <c r="A11" s="54" t="s">
        <v>131</v>
      </c>
      <c r="B11" s="51">
        <v>1.37</v>
      </c>
      <c r="C11" s="56">
        <f>H11</f>
        <v>1.4419508571456034</v>
      </c>
      <c r="D11" s="55">
        <f>метраж!B11</f>
        <v>17835.3</v>
      </c>
      <c r="E11" s="55">
        <f>C11*D11</f>
        <v>25717.62612244898</v>
      </c>
      <c r="F11" s="55">
        <f t="shared" si="0"/>
        <v>308611.5134693878</v>
      </c>
      <c r="G11" s="204">
        <f>(L7*12+L8+L9)/12/49</f>
        <v>4286.271020408163</v>
      </c>
      <c r="H11" s="204">
        <f>G11*6/D11</f>
        <v>1.4419508571456034</v>
      </c>
      <c r="I11" s="204">
        <f>C11-B11</f>
        <v>0.07195085714560334</v>
      </c>
      <c r="J11" s="199">
        <f>I11*D11</f>
        <v>1283.2651224489791</v>
      </c>
      <c r="K11" s="205">
        <v>12.52</v>
      </c>
      <c r="L11" s="206">
        <v>17835.5</v>
      </c>
      <c r="M11" s="230">
        <f>1.44*D11</f>
        <v>25682.832</v>
      </c>
    </row>
    <row r="12" spans="1:13" ht="15">
      <c r="A12" s="54" t="s">
        <v>132</v>
      </c>
      <c r="B12" s="51">
        <v>2.74</v>
      </c>
      <c r="C12" s="56">
        <f>H12</f>
        <v>2.874198048946709</v>
      </c>
      <c r="D12" s="55">
        <f>метраж!B13</f>
        <v>20878.1</v>
      </c>
      <c r="E12" s="55">
        <f>C12*D12</f>
        <v>60007.794285714284</v>
      </c>
      <c r="F12" s="55">
        <f t="shared" si="0"/>
        <v>720093.5314285714</v>
      </c>
      <c r="G12" s="204">
        <f>(L7*12+L8+L9)/12/49</f>
        <v>4286.271020408163</v>
      </c>
      <c r="H12" s="204">
        <f>G12*14/D12</f>
        <v>2.874198048946709</v>
      </c>
      <c r="I12" s="204">
        <f>C12-B12</f>
        <v>0.13419804894670895</v>
      </c>
      <c r="J12" s="199">
        <f>I12*D12</f>
        <v>2801.8002857142837</v>
      </c>
      <c r="K12" s="205">
        <v>13.89</v>
      </c>
      <c r="L12" s="206">
        <v>20878.5</v>
      </c>
      <c r="M12" s="230">
        <f>2.87*D12</f>
        <v>59920.147</v>
      </c>
    </row>
    <row r="13" spans="1:13" ht="15">
      <c r="A13" s="54" t="s">
        <v>133</v>
      </c>
      <c r="B13" s="51">
        <v>2.75</v>
      </c>
      <c r="C13" s="56">
        <f>H13</f>
        <v>2.887097135588102</v>
      </c>
      <c r="D13" s="55">
        <f>метраж!B15</f>
        <v>14846.3</v>
      </c>
      <c r="E13" s="55">
        <f>C13*D13</f>
        <v>42862.71020408163</v>
      </c>
      <c r="F13" s="55">
        <f t="shared" si="0"/>
        <v>514352.52244897955</v>
      </c>
      <c r="G13" s="204">
        <f>(L7*12+L8+L9)/12/49</f>
        <v>4286.271020408163</v>
      </c>
      <c r="H13" s="204">
        <f>G13*10/D13</f>
        <v>2.887097135588102</v>
      </c>
      <c r="I13" s="204">
        <f>C13-B13</f>
        <v>0.13709713558810188</v>
      </c>
      <c r="J13" s="199">
        <f>I13*D13</f>
        <v>2035.3852040816369</v>
      </c>
      <c r="K13" s="205">
        <v>13.9</v>
      </c>
      <c r="L13" s="206">
        <v>14846.4</v>
      </c>
      <c r="M13" s="230">
        <f>2.89*D13</f>
        <v>42905.807</v>
      </c>
    </row>
    <row r="14" spans="1:13" ht="15">
      <c r="A14" s="54" t="s">
        <v>134</v>
      </c>
      <c r="B14" s="51">
        <v>2.77</v>
      </c>
      <c r="C14" s="56">
        <f>H14</f>
        <v>2.9086250187968554</v>
      </c>
      <c r="D14" s="55">
        <f>метраж!B17</f>
        <v>17683.7</v>
      </c>
      <c r="E14" s="55">
        <f>C14*D14</f>
        <v>51435.25224489795</v>
      </c>
      <c r="F14" s="55">
        <f t="shared" si="0"/>
        <v>617223.0269387754</v>
      </c>
      <c r="G14" s="204">
        <f>(L7*12+L8+L9)/12/49</f>
        <v>4286.271020408163</v>
      </c>
      <c r="H14" s="204">
        <f>G14*12/D14</f>
        <v>2.9086250187968554</v>
      </c>
      <c r="I14" s="204">
        <f>C14-B14</f>
        <v>0.1386250187968554</v>
      </c>
      <c r="J14" s="199">
        <f>I14*D14</f>
        <v>2451.403244897952</v>
      </c>
      <c r="K14" s="205">
        <v>13.92</v>
      </c>
      <c r="L14" s="206">
        <v>17651.7</v>
      </c>
      <c r="M14" s="230">
        <f>2.91*D14</f>
        <v>51459.567</v>
      </c>
    </row>
    <row r="15" spans="1:13" ht="15">
      <c r="A15" s="54" t="s">
        <v>135</v>
      </c>
      <c r="B15" s="51">
        <v>0.07</v>
      </c>
      <c r="C15" s="55">
        <v>0.07</v>
      </c>
      <c r="D15" s="55"/>
      <c r="E15" s="55">
        <f>C15*D8</f>
        <v>6344.275</v>
      </c>
      <c r="F15" s="55">
        <f t="shared" si="0"/>
        <v>76131.29999999999</v>
      </c>
      <c r="G15" s="204">
        <f>(L7*12+L8+L9)/12/49</f>
        <v>4286.271020408163</v>
      </c>
      <c r="J15" s="202">
        <f>SUM(J10:J14)</f>
        <v>9879.882999999996</v>
      </c>
      <c r="L15" s="199">
        <f>E10+E11+E12+E13+E14</f>
        <v>210027.28</v>
      </c>
      <c r="M15" s="230">
        <f>SUM(M10:M14)</f>
        <v>210021.458</v>
      </c>
    </row>
    <row r="16" spans="1:8" ht="15">
      <c r="A16" s="54" t="s">
        <v>136</v>
      </c>
      <c r="B16" s="51">
        <v>0.9</v>
      </c>
      <c r="C16" s="56">
        <v>0.9</v>
      </c>
      <c r="D16" s="55"/>
      <c r="E16" s="55">
        <f>C16*D8</f>
        <v>81569.24999999999</v>
      </c>
      <c r="F16" s="55">
        <f t="shared" si="0"/>
        <v>978830.9999999998</v>
      </c>
      <c r="G16" s="202">
        <f>E16+F24/12</f>
        <v>165027.5833333333</v>
      </c>
      <c r="H16" s="202">
        <f>F16+F24</f>
        <v>1980330.9999999998</v>
      </c>
    </row>
    <row r="17" spans="1:14" ht="15">
      <c r="A17" s="54" t="s">
        <v>137</v>
      </c>
      <c r="B17" s="51">
        <v>2.4</v>
      </c>
      <c r="C17" s="55">
        <v>2.4</v>
      </c>
      <c r="D17" s="55"/>
      <c r="E17" s="55">
        <f>C17*D8</f>
        <v>217517.99999999997</v>
      </c>
      <c r="F17" s="55">
        <f t="shared" si="0"/>
        <v>2610215.9999999995</v>
      </c>
      <c r="G17" s="202">
        <f>E17+E25</f>
        <v>259759.99999999997</v>
      </c>
      <c r="H17" s="202">
        <f>F17+F25</f>
        <v>3117119.9999999995</v>
      </c>
      <c r="I17" s="198">
        <f>I18+C33</f>
        <v>13.01412167337018</v>
      </c>
      <c r="J17" s="198">
        <f>J18+C33</f>
        <v>12.908610443938421</v>
      </c>
      <c r="K17" s="198">
        <f>K18+C33</f>
        <v>14.340857635739528</v>
      </c>
      <c r="L17" s="198">
        <f>L18+C33</f>
        <v>14.353756722380918</v>
      </c>
      <c r="M17" s="198">
        <f>M18+C33</f>
        <v>14.375284605589673</v>
      </c>
      <c r="N17" s="1" t="s">
        <v>318</v>
      </c>
    </row>
    <row r="18" spans="1:13" ht="15.75" thickBot="1">
      <c r="A18" s="54" t="s">
        <v>138</v>
      </c>
      <c r="B18" s="51">
        <v>1.79</v>
      </c>
      <c r="C18" s="55">
        <v>1.79</v>
      </c>
      <c r="D18" s="55"/>
      <c r="E18" s="55">
        <f>C18*D8</f>
        <v>162232.175</v>
      </c>
      <c r="F18" s="55">
        <f t="shared" si="0"/>
        <v>1946786.0999999999</v>
      </c>
      <c r="G18" s="202">
        <f>(C18*D8+C26*D21)</f>
        <v>194336.09499999997</v>
      </c>
      <c r="H18" s="202">
        <f>F18+F26</f>
        <v>2332033.1399999997</v>
      </c>
      <c r="I18" s="204">
        <f>SUM(C8+C9+C10+C15+C16+C17+C18)</f>
        <v>12.697462086577364</v>
      </c>
      <c r="J18" s="204">
        <f>C8+C9+C11+C15+C16+C17+C18</f>
        <v>12.591950857145605</v>
      </c>
      <c r="K18" s="204">
        <f>C8+C9+C12+C15+C16+C17+C18</f>
        <v>14.024198048946712</v>
      </c>
      <c r="L18" s="199">
        <f>C8+C9+C13+C15+C16+C17+C18</f>
        <v>14.037097135588102</v>
      </c>
      <c r="M18" s="204">
        <f>C8+C9+C14+C15+C16+C17+C18</f>
        <v>14.058625018796857</v>
      </c>
    </row>
    <row r="19" spans="1:9" ht="15">
      <c r="A19" s="54"/>
      <c r="B19" s="51"/>
      <c r="C19" s="56"/>
      <c r="D19" s="56"/>
      <c r="E19" s="56">
        <v>1209849.518</v>
      </c>
      <c r="F19" s="57">
        <f>SUM(F8:F18)</f>
        <v>14646955.860000001</v>
      </c>
      <c r="G19" s="208">
        <v>14518194.216</v>
      </c>
      <c r="H19" s="208">
        <f>14518194.216+N7*12</f>
        <v>14636936.376</v>
      </c>
      <c r="I19" s="203">
        <f>(F19-G19)</f>
        <v>128761.64400000125</v>
      </c>
    </row>
    <row r="20" spans="1:12" ht="15.75" thickBot="1">
      <c r="A20" s="53" t="s">
        <v>139</v>
      </c>
      <c r="B20" s="53"/>
      <c r="C20" s="55"/>
      <c r="D20" s="55"/>
      <c r="E20" s="55"/>
      <c r="F20" s="58"/>
      <c r="G20" s="209">
        <v>2017</v>
      </c>
      <c r="H20" s="209">
        <v>2018</v>
      </c>
      <c r="K20" s="210">
        <v>13.23</v>
      </c>
      <c r="L20" s="211">
        <f>D21</f>
        <v>16896.8</v>
      </c>
    </row>
    <row r="21" spans="1:12" ht="15">
      <c r="A21" s="54" t="s">
        <v>126</v>
      </c>
      <c r="B21" s="51">
        <v>7.32</v>
      </c>
      <c r="C21" s="55">
        <v>7.32</v>
      </c>
      <c r="D21" s="55">
        <f>метраж!C20</f>
        <v>16896.8</v>
      </c>
      <c r="E21" s="55">
        <f>C21*D21</f>
        <v>123684.576</v>
      </c>
      <c r="F21" s="55">
        <f>E21*12</f>
        <v>1484214.912</v>
      </c>
      <c r="G21" s="199">
        <f>F21+F22</f>
        <v>1784302.08</v>
      </c>
      <c r="K21" s="212"/>
      <c r="L21" s="213"/>
    </row>
    <row r="22" spans="1:12" ht="15">
      <c r="A22" s="54" t="s">
        <v>129</v>
      </c>
      <c r="B22" s="51">
        <v>1.48</v>
      </c>
      <c r="C22" s="55">
        <v>1.48</v>
      </c>
      <c r="D22" s="55"/>
      <c r="E22" s="55">
        <f>C22*D21</f>
        <v>25007.264</v>
      </c>
      <c r="F22" s="55">
        <f>E22*12</f>
        <v>300087.168</v>
      </c>
      <c r="K22" s="212">
        <f>C21+C22+C23+C25+C26</f>
        <v>13.270000000000001</v>
      </c>
      <c r="L22" s="213">
        <f>K22*L20</f>
        <v>224220.53600000002</v>
      </c>
    </row>
    <row r="23" spans="1:12" ht="15">
      <c r="A23" s="54" t="s">
        <v>135</v>
      </c>
      <c r="B23" s="51">
        <v>0.07</v>
      </c>
      <c r="C23" s="55">
        <v>0.07</v>
      </c>
      <c r="D23" s="55"/>
      <c r="E23" s="55">
        <f>C23*D21</f>
        <v>1182.776</v>
      </c>
      <c r="F23" s="55">
        <f>E23*12</f>
        <v>14193.312000000002</v>
      </c>
      <c r="G23" s="203">
        <f>F15+F23</f>
        <v>90324.612</v>
      </c>
      <c r="H23" s="203"/>
      <c r="I23" s="1" t="s">
        <v>140</v>
      </c>
      <c r="K23" s="212"/>
      <c r="L23" s="213">
        <f>L22*12+600000</f>
        <v>3290646.432</v>
      </c>
    </row>
    <row r="24" spans="1:12" ht="15">
      <c r="A24" s="54" t="s">
        <v>141</v>
      </c>
      <c r="B24" s="51"/>
      <c r="C24" s="59" t="s">
        <v>142</v>
      </c>
      <c r="D24" s="60"/>
      <c r="E24" s="55"/>
      <c r="F24" s="55">
        <f>(3300*365/3)+600000</f>
        <v>1001500</v>
      </c>
      <c r="G24" s="214" t="s">
        <v>143</v>
      </c>
      <c r="I24" s="1" t="s">
        <v>144</v>
      </c>
      <c r="J24" s="199">
        <f>201498.78-191903.6</f>
        <v>9595.179999999993</v>
      </c>
      <c r="K24" s="212"/>
      <c r="L24" s="213"/>
    </row>
    <row r="25" spans="1:11" ht="15.75" thickBot="1">
      <c r="A25" s="54" t="s">
        <v>137</v>
      </c>
      <c r="B25" s="51">
        <v>2.5</v>
      </c>
      <c r="C25" s="55">
        <v>2.5</v>
      </c>
      <c r="D25" s="55"/>
      <c r="E25" s="55">
        <f>C25*D21</f>
        <v>42242</v>
      </c>
      <c r="F25" s="55">
        <f>E25*12</f>
        <v>506904</v>
      </c>
      <c r="I25" s="1" t="s">
        <v>145</v>
      </c>
      <c r="J25" s="199">
        <f>28699.65-27217</f>
        <v>1482.6500000000015</v>
      </c>
      <c r="K25" s="199"/>
    </row>
    <row r="26" spans="1:12" ht="15.75" thickBot="1">
      <c r="A26" s="54" t="s">
        <v>138</v>
      </c>
      <c r="B26" s="62">
        <v>1.9</v>
      </c>
      <c r="C26" s="63">
        <v>1.9</v>
      </c>
      <c r="D26" s="55"/>
      <c r="E26" s="55">
        <f>C26*D21</f>
        <v>32103.92</v>
      </c>
      <c r="F26" s="55">
        <f>E26*12</f>
        <v>385247.04</v>
      </c>
      <c r="I26" s="1" t="s">
        <v>146</v>
      </c>
      <c r="J26" s="199">
        <f>119520.5-(20*365*155+3300*(365/3))/12</f>
        <v>-8229.5</v>
      </c>
      <c r="K26" s="215">
        <f>(20*365*155+3300*0.83*(365/3))/12</f>
        <v>122062.08333333333</v>
      </c>
      <c r="L26" s="199" t="s">
        <v>147</v>
      </c>
    </row>
    <row r="27" spans="1:11" ht="15.75" thickBot="1">
      <c r="A27" s="64"/>
      <c r="B27" s="56">
        <f>B21+B22+B23+B25+B26</f>
        <v>13.270000000000001</v>
      </c>
      <c r="C27" s="56">
        <f>C21+C22+C23+C25+C26</f>
        <v>13.270000000000001</v>
      </c>
      <c r="D27" s="65"/>
      <c r="E27" s="56">
        <f>SUM(E21:E26)</f>
        <v>224220.53600000002</v>
      </c>
      <c r="F27" s="66">
        <f>SUM(F21:F26)</f>
        <v>3692146.432</v>
      </c>
      <c r="G27" s="216">
        <v>3743352</v>
      </c>
      <c r="H27" s="217">
        <f>G27</f>
        <v>3743352</v>
      </c>
      <c r="J27" s="202">
        <f>SUM(J24:J26)</f>
        <v>2848.3299999999945</v>
      </c>
      <c r="K27" s="199">
        <f>E16+(F24-600000)/12</f>
        <v>115027.58333333331</v>
      </c>
    </row>
    <row r="28" spans="1:8" ht="15">
      <c r="A28" s="67" t="s">
        <v>148</v>
      </c>
      <c r="B28" s="53"/>
      <c r="C28" s="68"/>
      <c r="D28" s="61"/>
      <c r="E28" s="407" t="s">
        <v>149</v>
      </c>
      <c r="F28" s="407"/>
      <c r="G28" s="218">
        <f>G27+G19</f>
        <v>18261546.216</v>
      </c>
      <c r="H28" s="219">
        <f>H19+H27</f>
        <v>18380288.376000002</v>
      </c>
    </row>
    <row r="29" spans="1:8" ht="15.75" thickBot="1">
      <c r="A29" s="69"/>
      <c r="B29" s="70"/>
      <c r="C29" s="220"/>
      <c r="D29" s="221"/>
      <c r="E29" s="408" t="s">
        <v>151</v>
      </c>
      <c r="F29" s="408"/>
      <c r="G29" s="222">
        <v>2017</v>
      </c>
      <c r="H29" s="223">
        <v>2018</v>
      </c>
    </row>
    <row r="30" spans="1:8" ht="15">
      <c r="A30" s="64" t="s">
        <v>150</v>
      </c>
      <c r="B30" s="51">
        <v>3.84</v>
      </c>
      <c r="C30" s="68"/>
      <c r="D30" s="60"/>
      <c r="E30" s="162">
        <f>'Проект бюдж'!E22</f>
        <v>151979.40723993455</v>
      </c>
      <c r="F30" s="165">
        <f>E30*12</f>
        <v>1823752.8868792146</v>
      </c>
      <c r="H30" s="199">
        <f>F19+F27</f>
        <v>18339102.292000003</v>
      </c>
    </row>
    <row r="31" spans="1:6" ht="15">
      <c r="A31" s="64"/>
      <c r="B31" s="51"/>
      <c r="C31" s="220"/>
      <c r="D31" s="224"/>
      <c r="E31" s="406"/>
      <c r="F31" s="406"/>
    </row>
    <row r="32" spans="1:6" ht="15">
      <c r="A32" s="71" t="s">
        <v>152</v>
      </c>
      <c r="B32" s="53"/>
      <c r="C32" s="220"/>
      <c r="D32" s="224"/>
      <c r="E32" s="163"/>
      <c r="F32" s="163"/>
    </row>
    <row r="33" spans="1:6" ht="15">
      <c r="A33" s="72" t="s">
        <v>153</v>
      </c>
      <c r="B33" s="51">
        <v>0.3</v>
      </c>
      <c r="C33" s="73">
        <f>E33/D8</f>
        <v>0.3166595867928172</v>
      </c>
      <c r="D33" s="60"/>
      <c r="E33" s="164">
        <v>28699.65</v>
      </c>
      <c r="F33" s="164">
        <f>E33*12</f>
        <v>344395.80000000005</v>
      </c>
    </row>
    <row r="34" spans="1:6" ht="15">
      <c r="A34" s="191"/>
      <c r="B34" s="74"/>
      <c r="C34" s="409"/>
      <c r="D34" s="410"/>
      <c r="E34" s="164"/>
      <c r="F34" s="164"/>
    </row>
    <row r="35" spans="1:15" s="225" customFormat="1" ht="15">
      <c r="A35" s="54"/>
      <c r="B35" s="74"/>
      <c r="C35" s="409"/>
      <c r="D35" s="410"/>
      <c r="E35" s="163"/>
      <c r="F35" s="163">
        <f>SUM(F33:F34)</f>
        <v>344395.80000000005</v>
      </c>
      <c r="G35" s="1"/>
      <c r="H35" s="1"/>
      <c r="I35" s="1"/>
      <c r="J35" s="1"/>
      <c r="K35" s="1"/>
      <c r="L35" s="199"/>
      <c r="M35" s="1"/>
      <c r="N35" s="1"/>
      <c r="O35" s="1"/>
    </row>
    <row r="36" spans="1:15" s="225" customFormat="1" ht="15">
      <c r="A36" s="75" t="s">
        <v>155</v>
      </c>
      <c r="B36" s="76"/>
      <c r="C36" s="409"/>
      <c r="D36" s="410"/>
      <c r="E36" s="163"/>
      <c r="F36" s="163"/>
      <c r="G36" s="1"/>
      <c r="H36" s="1"/>
      <c r="I36" s="1"/>
      <c r="J36" s="1"/>
      <c r="K36" s="1"/>
      <c r="L36" s="199"/>
      <c r="M36" s="1"/>
      <c r="N36" s="1"/>
      <c r="O36" s="1"/>
    </row>
    <row r="37" spans="1:15" s="225" customFormat="1" ht="15">
      <c r="A37" s="77" t="s">
        <v>156</v>
      </c>
      <c r="B37" s="51">
        <v>5800</v>
      </c>
      <c r="C37" s="409"/>
      <c r="D37" s="410"/>
      <c r="E37" s="164">
        <f>6500</f>
        <v>6500</v>
      </c>
      <c r="F37" s="164">
        <f>E37*12</f>
        <v>78000</v>
      </c>
      <c r="G37" s="127"/>
      <c r="H37" s="1"/>
      <c r="I37" s="1"/>
      <c r="J37" s="1"/>
      <c r="K37" s="1"/>
      <c r="L37" s="199"/>
      <c r="M37" s="1"/>
      <c r="N37" s="1"/>
      <c r="O37" s="1"/>
    </row>
    <row r="38" spans="1:15" s="225" customFormat="1" ht="15">
      <c r="A38" s="189" t="s">
        <v>157</v>
      </c>
      <c r="B38" s="62">
        <v>59354</v>
      </c>
      <c r="C38" s="411"/>
      <c r="D38" s="412"/>
      <c r="E38" s="190">
        <f>(75434.08*4+60189.08*8)/12</f>
        <v>65270.746666666666</v>
      </c>
      <c r="F38" s="190">
        <f>E38*12</f>
        <v>783248.96</v>
      </c>
      <c r="G38" s="1"/>
      <c r="H38" s="1"/>
      <c r="I38" s="1"/>
      <c r="J38" s="1"/>
      <c r="K38" s="1"/>
      <c r="L38" s="199"/>
      <c r="M38" s="1"/>
      <c r="N38" s="1"/>
      <c r="O38" s="1"/>
    </row>
    <row r="39" spans="1:15" s="225" customFormat="1" ht="15">
      <c r="A39" s="191" t="s">
        <v>158</v>
      </c>
      <c r="B39" s="192">
        <v>12100</v>
      </c>
      <c r="C39" s="406"/>
      <c r="D39" s="406"/>
      <c r="E39" s="164">
        <v>13200</v>
      </c>
      <c r="F39" s="164">
        <f>E39*12</f>
        <v>158400</v>
      </c>
      <c r="G39" s="1"/>
      <c r="H39" s="1"/>
      <c r="I39" s="1"/>
      <c r="J39" s="1"/>
      <c r="K39" s="1"/>
      <c r="L39" s="199"/>
      <c r="M39" s="1"/>
      <c r="N39" s="1"/>
      <c r="O39" s="1"/>
    </row>
    <row r="40" spans="1:15" s="225" customFormat="1" ht="15">
      <c r="A40" s="191" t="s">
        <v>159</v>
      </c>
      <c r="B40" s="192">
        <v>2500</v>
      </c>
      <c r="C40" s="406"/>
      <c r="D40" s="406"/>
      <c r="E40" s="164">
        <v>2500</v>
      </c>
      <c r="F40" s="164">
        <f>E40*12</f>
        <v>30000</v>
      </c>
      <c r="G40" s="1"/>
      <c r="H40" s="1"/>
      <c r="I40" s="1"/>
      <c r="J40" s="1"/>
      <c r="K40" s="1"/>
      <c r="L40" s="199"/>
      <c r="M40" s="1"/>
      <c r="N40" s="1"/>
      <c r="O40" s="1"/>
    </row>
    <row r="41" spans="1:15" s="225" customFormat="1" ht="15">
      <c r="A41" s="193"/>
      <c r="B41" s="192"/>
      <c r="C41" s="406"/>
      <c r="D41" s="406"/>
      <c r="E41" s="163">
        <f>SUM(E37:E40)</f>
        <v>87470.74666666667</v>
      </c>
      <c r="F41" s="163">
        <f>SUM(F37:F40)</f>
        <v>1049648.96</v>
      </c>
      <c r="G41" s="127">
        <v>1220000</v>
      </c>
      <c r="H41" s="1" t="s">
        <v>332</v>
      </c>
      <c r="I41" s="1"/>
      <c r="J41" s="1"/>
      <c r="K41" s="1"/>
      <c r="L41" s="199"/>
      <c r="M41" s="1"/>
      <c r="N41" s="1"/>
      <c r="O41" s="1"/>
    </row>
    <row r="42" spans="1:6" ht="17.25">
      <c r="A42" s="241" t="s">
        <v>333</v>
      </c>
      <c r="B42" s="187"/>
      <c r="C42" s="187"/>
      <c r="D42" s="193"/>
      <c r="E42" s="193"/>
      <c r="F42" s="193"/>
    </row>
    <row r="43" spans="1:6" ht="16.5">
      <c r="A43" s="242" t="s">
        <v>334</v>
      </c>
      <c r="B43" s="187"/>
      <c r="C43" s="193"/>
      <c r="D43" s="193"/>
      <c r="E43" s="193"/>
      <c r="F43" s="187">
        <v>99981.57</v>
      </c>
    </row>
    <row r="44" spans="1:6" ht="16.5">
      <c r="A44" s="242" t="s">
        <v>335</v>
      </c>
      <c r="B44" s="187"/>
      <c r="C44" s="193"/>
      <c r="D44" s="193"/>
      <c r="E44" s="193"/>
      <c r="F44" s="187">
        <v>475930.86</v>
      </c>
    </row>
    <row r="45" spans="1:6" ht="16.5">
      <c r="A45" s="240" t="s">
        <v>336</v>
      </c>
      <c r="B45" s="187"/>
      <c r="C45" s="193"/>
      <c r="D45" s="193"/>
      <c r="E45" s="193"/>
      <c r="F45" s="187">
        <v>643232.28</v>
      </c>
    </row>
    <row r="46" spans="1:6" ht="17.25" thickBot="1">
      <c r="A46" s="243" t="s">
        <v>183</v>
      </c>
      <c r="B46" s="188"/>
      <c r="C46" s="193"/>
      <c r="D46" s="193"/>
      <c r="E46" s="193"/>
      <c r="F46" s="188">
        <f>SUM(F43:F45)</f>
        <v>1219144.71</v>
      </c>
    </row>
    <row r="47" spans="4:7" ht="16.5" thickBot="1">
      <c r="D47" s="267" t="s">
        <v>308</v>
      </c>
      <c r="F47" s="266">
        <f>F19+F27+F30+F35+F41+F46</f>
        <v>22776044.64887922</v>
      </c>
      <c r="G47" s="226"/>
    </row>
    <row r="48" spans="4:7" ht="15.75">
      <c r="D48" s="267"/>
      <c r="F48" s="266"/>
      <c r="G48" s="318"/>
    </row>
    <row r="49" spans="3:4" ht="15">
      <c r="C49" s="78" t="s">
        <v>369</v>
      </c>
      <c r="D49" s="78" t="s">
        <v>370</v>
      </c>
    </row>
    <row r="50" spans="1:4" ht="15">
      <c r="A50" s="54" t="s">
        <v>309</v>
      </c>
      <c r="B50" s="197" t="s">
        <v>310</v>
      </c>
      <c r="C50" s="128">
        <v>12.63</v>
      </c>
      <c r="D50" s="228">
        <f>I18</f>
        <v>12.697462086577364</v>
      </c>
    </row>
    <row r="51" spans="1:4" ht="15">
      <c r="A51" s="54" t="s">
        <v>311</v>
      </c>
      <c r="B51" s="197" t="s">
        <v>310</v>
      </c>
      <c r="C51" s="128">
        <v>12.52</v>
      </c>
      <c r="D51" s="228">
        <f>J18</f>
        <v>12.591950857145605</v>
      </c>
    </row>
    <row r="52" spans="1:4" ht="15">
      <c r="A52" s="227" t="s">
        <v>312</v>
      </c>
      <c r="B52" s="197" t="s">
        <v>310</v>
      </c>
      <c r="C52" s="128">
        <v>13.89</v>
      </c>
      <c r="D52" s="228">
        <f>K18</f>
        <v>14.024198048946712</v>
      </c>
    </row>
    <row r="53" spans="1:4" ht="15">
      <c r="A53" s="54" t="s">
        <v>313</v>
      </c>
      <c r="B53" s="197" t="s">
        <v>310</v>
      </c>
      <c r="C53" s="128">
        <v>13.9</v>
      </c>
      <c r="D53" s="229">
        <f>L18</f>
        <v>14.037097135588102</v>
      </c>
    </row>
    <row r="54" spans="1:4" ht="15">
      <c r="A54" s="54" t="s">
        <v>315</v>
      </c>
      <c r="B54" s="197" t="s">
        <v>310</v>
      </c>
      <c r="C54" s="128">
        <v>13.92</v>
      </c>
      <c r="D54" s="228">
        <f>M18</f>
        <v>14.058625018796857</v>
      </c>
    </row>
  </sheetData>
  <sheetProtection/>
  <mergeCells count="17">
    <mergeCell ref="C38:D38"/>
    <mergeCell ref="A1:F1"/>
    <mergeCell ref="A2:F2"/>
    <mergeCell ref="A3:F3"/>
    <mergeCell ref="B4:C4"/>
    <mergeCell ref="E4:F4"/>
    <mergeCell ref="A6:F6"/>
    <mergeCell ref="C39:D39"/>
    <mergeCell ref="C40:D40"/>
    <mergeCell ref="C41:D41"/>
    <mergeCell ref="E28:F28"/>
    <mergeCell ref="E29:F29"/>
    <mergeCell ref="E31:F31"/>
    <mergeCell ref="C35:D35"/>
    <mergeCell ref="C36:D36"/>
    <mergeCell ref="C34:D34"/>
    <mergeCell ref="C37:D37"/>
  </mergeCells>
  <printOptions/>
  <pageMargins left="0.11811023622047201" right="0.11811023622047201" top="0.15748031496063003" bottom="0.15748031496063003" header="0.15748031496063003" footer="0.15748031496063003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1">
      <selection activeCell="C14" sqref="C14"/>
    </sheetView>
  </sheetViews>
  <sheetFormatPr defaultColWidth="8.796875" defaultRowHeight="14.25"/>
  <cols>
    <col min="1" max="1" width="34.69921875" style="79" customWidth="1"/>
    <col min="2" max="3" width="7.8984375" style="119" customWidth="1"/>
    <col min="4" max="4" width="10.59765625" style="79" customWidth="1"/>
    <col min="5" max="6" width="13.3984375" style="79" customWidth="1"/>
    <col min="7" max="7" width="10.8984375" style="79" customWidth="1"/>
    <col min="8" max="8" width="13.8984375" style="79" customWidth="1"/>
    <col min="9" max="9" width="12.19921875" style="79" customWidth="1"/>
    <col min="10" max="16384" width="9" style="79" customWidth="1"/>
  </cols>
  <sheetData>
    <row r="1" spans="1:8" s="80" customFormat="1" ht="16.5">
      <c r="A1" s="419" t="s">
        <v>160</v>
      </c>
      <c r="B1" s="419"/>
      <c r="C1" s="419"/>
      <c r="D1" s="419"/>
      <c r="E1" s="419"/>
      <c r="F1" s="419"/>
      <c r="G1" s="79"/>
      <c r="H1" s="79"/>
    </row>
    <row r="2" spans="1:8" s="80" customFormat="1" ht="16.5">
      <c r="A2" s="81" t="s">
        <v>112</v>
      </c>
      <c r="B2" s="420" t="s">
        <v>113</v>
      </c>
      <c r="C2" s="420"/>
      <c r="D2" s="82" t="s">
        <v>114</v>
      </c>
      <c r="E2" s="420" t="s">
        <v>115</v>
      </c>
      <c r="F2" s="420"/>
      <c r="G2" s="79"/>
      <c r="H2" s="79"/>
    </row>
    <row r="3" spans="1:8" s="80" customFormat="1" ht="16.5">
      <c r="A3" s="83" t="s">
        <v>116</v>
      </c>
      <c r="B3" s="84">
        <v>2017</v>
      </c>
      <c r="C3" s="84">
        <v>2018</v>
      </c>
      <c r="D3" s="85" t="s">
        <v>117</v>
      </c>
      <c r="E3" s="86" t="s">
        <v>118</v>
      </c>
      <c r="F3" s="86" t="s">
        <v>119</v>
      </c>
      <c r="G3" s="79"/>
      <c r="H3" s="79"/>
    </row>
    <row r="4" spans="1:8" s="80" customFormat="1" ht="17.25">
      <c r="A4" s="421" t="s">
        <v>120</v>
      </c>
      <c r="B4" s="421"/>
      <c r="C4" s="421"/>
      <c r="D4" s="421"/>
      <c r="E4" s="421"/>
      <c r="F4" s="421"/>
      <c r="G4" s="79"/>
      <c r="H4" s="79"/>
    </row>
    <row r="5" spans="1:8" s="80" customFormat="1" ht="17.25">
      <c r="A5" s="87" t="s">
        <v>161</v>
      </c>
      <c r="B5" s="88"/>
      <c r="C5" s="84"/>
      <c r="D5" s="89"/>
      <c r="E5" s="89"/>
      <c r="F5" s="89"/>
      <c r="G5" s="79"/>
      <c r="H5" s="79"/>
    </row>
    <row r="6" spans="1:8" s="80" customFormat="1" ht="16.5">
      <c r="A6" s="89" t="s">
        <v>20</v>
      </c>
      <c r="B6" s="84">
        <v>12.63</v>
      </c>
      <c r="C6" s="90">
        <f>См_доход!C8+См_доход!C9+См_доход!C10+См_доход!C15+См_доход!C16+См_доход!C17+См_доход!C18</f>
        <v>12.697462086577364</v>
      </c>
      <c r="D6" s="91">
        <f>метраж!B9</f>
        <v>19389.1</v>
      </c>
      <c r="E6" s="92">
        <f>C6*D6</f>
        <v>246192.36214285714</v>
      </c>
      <c r="F6" s="92">
        <f>E6*12</f>
        <v>2954308.3457142855</v>
      </c>
      <c r="G6" s="79"/>
      <c r="H6" s="79"/>
    </row>
    <row r="7" spans="1:8" s="80" customFormat="1" ht="16.5">
      <c r="A7" s="89" t="s">
        <v>162</v>
      </c>
      <c r="B7" s="84">
        <v>12.52</v>
      </c>
      <c r="C7" s="90">
        <f>См_доход!C8+См_доход!C9+См_доход!C11+См_доход!C15+См_доход!C16+См_доход!C17+См_доход!C18</f>
        <v>12.591950857145605</v>
      </c>
      <c r="D7" s="91">
        <f>метраж!B11</f>
        <v>17835.3</v>
      </c>
      <c r="E7" s="92">
        <f>C7*D7</f>
        <v>224581.221122449</v>
      </c>
      <c r="F7" s="92">
        <f>E7*12</f>
        <v>2694974.653469388</v>
      </c>
      <c r="G7" s="79"/>
      <c r="H7" s="79"/>
    </row>
    <row r="8" spans="1:8" s="80" customFormat="1" ht="16.5">
      <c r="A8" s="89" t="s">
        <v>163</v>
      </c>
      <c r="B8" s="84">
        <v>13.89</v>
      </c>
      <c r="C8" s="90">
        <f>См_доход!C8+См_доход!C9+См_доход!C12+См_доход!C15+См_доход!C16+См_доход!C17+См_доход!C18</f>
        <v>14.024198048946712</v>
      </c>
      <c r="D8" s="91">
        <f>метраж!B13</f>
        <v>20878.1</v>
      </c>
      <c r="E8" s="92">
        <f>C8*D8</f>
        <v>292798.60928571434</v>
      </c>
      <c r="F8" s="92">
        <f>E8*12</f>
        <v>3513583.311428572</v>
      </c>
      <c r="G8" s="79"/>
      <c r="H8" s="79"/>
    </row>
    <row r="9" spans="1:8" s="80" customFormat="1" ht="16.5">
      <c r="A9" s="89" t="s">
        <v>164</v>
      </c>
      <c r="B9" s="84">
        <v>13.9</v>
      </c>
      <c r="C9" s="90">
        <f>См_доход!C8+См_доход!C9+См_доход!C13+См_доход!C15+См_доход!C16+См_доход!C17+См_доход!C18</f>
        <v>14.037097135588102</v>
      </c>
      <c r="D9" s="91">
        <f>метраж!B15</f>
        <v>14846.3</v>
      </c>
      <c r="E9" s="92">
        <f>C9*D9</f>
        <v>208398.95520408163</v>
      </c>
      <c r="F9" s="92">
        <f>E9*12</f>
        <v>2500787.4624489797</v>
      </c>
      <c r="G9" s="79"/>
      <c r="H9" s="79"/>
    </row>
    <row r="10" spans="1:8" s="80" customFormat="1" ht="16.5">
      <c r="A10" s="89" t="s">
        <v>165</v>
      </c>
      <c r="B10" s="84">
        <v>13.92</v>
      </c>
      <c r="C10" s="90">
        <f>См_доход!C8+См_доход!C9+См_доход!C14+См_доход!C15+См_доход!C16+См_доход!C17+См_доход!C18</f>
        <v>14.058625018796857</v>
      </c>
      <c r="D10" s="91">
        <f>метраж!B17</f>
        <v>17683.7</v>
      </c>
      <c r="E10" s="92">
        <f>C10*D10</f>
        <v>248608.50724489798</v>
      </c>
      <c r="F10" s="92">
        <f>E10*12</f>
        <v>2983302.0869387756</v>
      </c>
      <c r="G10" s="79"/>
      <c r="H10" s="79"/>
    </row>
    <row r="11" spans="1:8" s="80" customFormat="1" ht="16.5">
      <c r="A11" s="89"/>
      <c r="B11" s="93"/>
      <c r="C11" s="94"/>
      <c r="D11" s="95">
        <f>SUM(D6:D10)</f>
        <v>90632.49999999999</v>
      </c>
      <c r="E11" s="95">
        <f>SUM(E6:E10)</f>
        <v>1220579.655</v>
      </c>
      <c r="F11" s="95">
        <f>SUM(F6:F10)</f>
        <v>14646955.860000003</v>
      </c>
      <c r="G11" s="79"/>
      <c r="H11" s="79"/>
    </row>
    <row r="12" spans="1:8" s="80" customFormat="1" ht="17.25">
      <c r="A12" s="87" t="s">
        <v>166</v>
      </c>
      <c r="B12" s="88"/>
      <c r="C12" s="90"/>
      <c r="D12" s="91"/>
      <c r="E12" s="96"/>
      <c r="F12" s="96"/>
      <c r="G12" s="79"/>
      <c r="H12" s="79"/>
    </row>
    <row r="13" spans="1:8" s="80" customFormat="1" ht="16.5">
      <c r="A13" s="89" t="s">
        <v>20</v>
      </c>
      <c r="B13" s="97">
        <v>13.23</v>
      </c>
      <c r="C13" s="97">
        <f>См_доход!K22</f>
        <v>13.270000000000001</v>
      </c>
      <c r="D13" s="98">
        <f>метраж!C9</f>
        <v>4285.5</v>
      </c>
      <c r="E13" s="92">
        <f>C13*D13</f>
        <v>56868.58500000001</v>
      </c>
      <c r="F13" s="92">
        <f>E13*12</f>
        <v>682423.02</v>
      </c>
      <c r="G13" s="79"/>
      <c r="H13" s="79"/>
    </row>
    <row r="14" spans="1:8" s="80" customFormat="1" ht="16.5">
      <c r="A14" s="89" t="s">
        <v>162</v>
      </c>
      <c r="B14" s="99">
        <v>13.23</v>
      </c>
      <c r="C14" s="97">
        <f>См_доход!K22</f>
        <v>13.270000000000001</v>
      </c>
      <c r="D14" s="91">
        <f>метраж!C11</f>
        <v>3651.5</v>
      </c>
      <c r="E14" s="92">
        <f>C14*D14</f>
        <v>48455.405000000006</v>
      </c>
      <c r="F14" s="92">
        <f>E14*12</f>
        <v>581464.8600000001</v>
      </c>
      <c r="G14" s="79"/>
      <c r="H14" s="79"/>
    </row>
    <row r="15" spans="1:8" s="80" customFormat="1" ht="16.5">
      <c r="A15" s="89" t="s">
        <v>163</v>
      </c>
      <c r="B15" s="99">
        <v>13.23</v>
      </c>
      <c r="C15" s="97">
        <f>См_доход!K22</f>
        <v>13.270000000000001</v>
      </c>
      <c r="D15" s="91">
        <f>метраж!C13</f>
        <v>4621.6</v>
      </c>
      <c r="E15" s="92">
        <f>C15*D15</f>
        <v>61328.63200000001</v>
      </c>
      <c r="F15" s="92">
        <f>E15*12</f>
        <v>735943.5840000001</v>
      </c>
      <c r="G15" s="79"/>
      <c r="H15" s="79"/>
    </row>
    <row r="16" spans="1:8" s="80" customFormat="1" ht="16.5">
      <c r="A16" s="89" t="s">
        <v>164</v>
      </c>
      <c r="B16" s="99">
        <v>13.23</v>
      </c>
      <c r="C16" s="97">
        <f>См_доход!K22</f>
        <v>13.270000000000001</v>
      </c>
      <c r="D16" s="91">
        <f>метраж!C15</f>
        <v>1609.3</v>
      </c>
      <c r="E16" s="92">
        <f>C16*D16</f>
        <v>21355.411</v>
      </c>
      <c r="F16" s="92">
        <f>E16*12</f>
        <v>256264.932</v>
      </c>
      <c r="G16" s="79"/>
      <c r="H16" s="79"/>
    </row>
    <row r="17" spans="1:8" s="80" customFormat="1" ht="16.5">
      <c r="A17" s="89" t="s">
        <v>165</v>
      </c>
      <c r="B17" s="100">
        <v>13.23</v>
      </c>
      <c r="C17" s="97">
        <f>См_доход!K22</f>
        <v>13.270000000000001</v>
      </c>
      <c r="D17" s="91">
        <f>метраж!C17</f>
        <v>2728.9</v>
      </c>
      <c r="E17" s="92">
        <f>C17*D17</f>
        <v>36212.503000000004</v>
      </c>
      <c r="F17" s="92">
        <f>E17*12</f>
        <v>434550.0360000001</v>
      </c>
      <c r="G17" s="79"/>
      <c r="H17" s="79"/>
    </row>
    <row r="18" spans="1:8" s="80" customFormat="1" ht="16.5">
      <c r="A18" s="101" t="s">
        <v>167</v>
      </c>
      <c r="B18" s="84"/>
      <c r="C18" s="418"/>
      <c r="D18" s="418"/>
      <c r="E18" s="92"/>
      <c r="F18" s="92">
        <f>См_доход!F24</f>
        <v>1001500</v>
      </c>
      <c r="G18" s="79"/>
      <c r="H18" s="79"/>
    </row>
    <row r="19" spans="1:8" s="80" customFormat="1" ht="16.5">
      <c r="A19" s="101"/>
      <c r="B19" s="84"/>
      <c r="C19" s="102"/>
      <c r="D19" s="95">
        <f>SUM(D13:D18)</f>
        <v>16896.8</v>
      </c>
      <c r="E19" s="95">
        <f>SUM(E13:E18)</f>
        <v>224220.53600000002</v>
      </c>
      <c r="F19" s="95">
        <f>SUM(F13:F18)</f>
        <v>3692146.432</v>
      </c>
      <c r="G19" s="79"/>
      <c r="H19" s="79"/>
    </row>
    <row r="20" spans="1:8" s="80" customFormat="1" ht="31.5" customHeight="1">
      <c r="A20" s="103" t="s">
        <v>148</v>
      </c>
      <c r="B20" s="88"/>
      <c r="C20" s="418"/>
      <c r="D20" s="418"/>
      <c r="E20" s="422" t="s">
        <v>168</v>
      </c>
      <c r="F20" s="423"/>
      <c r="G20" s="79"/>
      <c r="H20" s="79"/>
    </row>
    <row r="21" spans="1:8" s="80" customFormat="1" ht="16.5">
      <c r="A21" s="104" t="s">
        <v>169</v>
      </c>
      <c r="B21" s="105"/>
      <c r="C21" s="418"/>
      <c r="D21" s="418"/>
      <c r="E21" s="106" t="s">
        <v>118</v>
      </c>
      <c r="F21" s="107" t="s">
        <v>119</v>
      </c>
      <c r="G21" s="79"/>
      <c r="H21" s="79"/>
    </row>
    <row r="22" spans="1:8" s="80" customFormat="1" ht="16.5">
      <c r="A22" s="108" t="s">
        <v>150</v>
      </c>
      <c r="B22" s="82"/>
      <c r="C22" s="418"/>
      <c r="D22" s="418"/>
      <c r="E22" s="109">
        <f>1.025*('[1]Анализ_объемов'!$F$27*'[1]Анализ_объемов'!$F$28+'[1]Анализ_объемов'!$H$27*'[1]Анализ_объемов'!$H$28)/12</f>
        <v>151979.40723993455</v>
      </c>
      <c r="F22" s="231">
        <f>E22*12</f>
        <v>1823752.8868792146</v>
      </c>
      <c r="G22" s="79"/>
      <c r="H22" s="79"/>
    </row>
    <row r="23" spans="1:8" s="80" customFormat="1" ht="16.5">
      <c r="A23" s="89"/>
      <c r="B23" s="84"/>
      <c r="C23" s="418"/>
      <c r="D23" s="418"/>
      <c r="E23" s="110"/>
      <c r="F23" s="110"/>
      <c r="G23" s="79"/>
      <c r="H23" s="79"/>
    </row>
    <row r="24" spans="1:8" s="80" customFormat="1" ht="17.25">
      <c r="A24" s="111" t="s">
        <v>152</v>
      </c>
      <c r="B24" s="112"/>
      <c r="C24" s="418"/>
      <c r="D24" s="418"/>
      <c r="E24" s="113"/>
      <c r="F24" s="161"/>
      <c r="G24" s="79"/>
      <c r="H24" s="79"/>
    </row>
    <row r="25" spans="1:8" s="80" customFormat="1" ht="16.5">
      <c r="A25" s="114" t="s">
        <v>153</v>
      </c>
      <c r="B25" s="85"/>
      <c r="C25" s="418"/>
      <c r="D25" s="418"/>
      <c r="E25" s="194">
        <f>См_доход!E33</f>
        <v>28699.65</v>
      </c>
      <c r="F25" s="195">
        <f>E25*12</f>
        <v>344395.80000000005</v>
      </c>
      <c r="G25" s="79"/>
      <c r="H25" s="79"/>
    </row>
    <row r="26" spans="1:8" s="80" customFormat="1" ht="16.5">
      <c r="A26" s="186"/>
      <c r="C26" s="418"/>
      <c r="D26" s="418"/>
      <c r="E26" s="196"/>
      <c r="F26" s="195"/>
      <c r="G26" s="79"/>
      <c r="H26" s="79"/>
    </row>
    <row r="27" spans="1:8" s="80" customFormat="1" ht="16.5">
      <c r="A27" s="89"/>
      <c r="B27" s="84"/>
      <c r="C27" s="418"/>
      <c r="D27" s="418"/>
      <c r="E27" s="110"/>
      <c r="F27" s="113"/>
      <c r="G27" s="79"/>
      <c r="H27" s="79"/>
    </row>
    <row r="28" spans="1:8" s="80" customFormat="1" ht="17.25">
      <c r="A28" s="115" t="s">
        <v>170</v>
      </c>
      <c r="B28" s="116"/>
      <c r="C28" s="235"/>
      <c r="D28" s="236"/>
      <c r="E28" s="236"/>
      <c r="F28" s="237"/>
      <c r="G28" s="79"/>
      <c r="H28" s="79"/>
    </row>
    <row r="29" spans="1:8" s="80" customFormat="1" ht="16.5">
      <c r="A29" s="89" t="str">
        <f>См_доход!A37</f>
        <v>Аренда подсобного помещения</v>
      </c>
      <c r="B29" s="84"/>
      <c r="C29" s="418"/>
      <c r="D29" s="418"/>
      <c r="E29" s="92">
        <f>См_доход!E37</f>
        <v>6500</v>
      </c>
      <c r="F29" s="92">
        <f>E29*12</f>
        <v>78000</v>
      </c>
      <c r="G29" s="79"/>
      <c r="H29" s="79"/>
    </row>
    <row r="30" spans="1:8" s="80" customFormat="1" ht="16.5">
      <c r="A30" s="89" t="str">
        <f>См_доход!A38</f>
        <v>Размещение оборудования</v>
      </c>
      <c r="B30" s="84"/>
      <c r="C30" s="418"/>
      <c r="D30" s="418"/>
      <c r="E30" s="92">
        <f>См_доход!E38</f>
        <v>65270.746666666666</v>
      </c>
      <c r="F30" s="166">
        <f>E30*12</f>
        <v>783248.96</v>
      </c>
      <c r="G30" s="167"/>
      <c r="H30" s="79"/>
    </row>
    <row r="31" spans="1:8" s="80" customFormat="1" ht="16.5">
      <c r="A31" s="89" t="str">
        <f>См_доход!A39</f>
        <v>Размещение вытяжных труб и рекламы на фасадах</v>
      </c>
      <c r="B31" s="84"/>
      <c r="C31" s="418"/>
      <c r="D31" s="418"/>
      <c r="E31" s="92">
        <f>См_доход!E39</f>
        <v>13200</v>
      </c>
      <c r="F31" s="92">
        <f>E31*12</f>
        <v>158400</v>
      </c>
      <c r="G31" s="79"/>
      <c r="H31" s="79"/>
    </row>
    <row r="32" spans="1:8" s="80" customFormat="1" ht="16.5">
      <c r="A32" s="89" t="str">
        <f>См_доход!A40</f>
        <v>Техобслуживание оборудования</v>
      </c>
      <c r="B32" s="84"/>
      <c r="C32" s="418"/>
      <c r="D32" s="418"/>
      <c r="E32" s="92">
        <f>См_доход!E40</f>
        <v>2500</v>
      </c>
      <c r="F32" s="92">
        <f>E32*12</f>
        <v>30000</v>
      </c>
      <c r="G32" s="79"/>
      <c r="H32" s="79"/>
    </row>
    <row r="33" spans="2:8" s="80" customFormat="1" ht="16.5">
      <c r="B33" s="84"/>
      <c r="C33" s="418"/>
      <c r="D33" s="418"/>
      <c r="E33" s="110">
        <f>SUM(E29:E32)</f>
        <v>87470.74666666667</v>
      </c>
      <c r="F33" s="110">
        <f>SUM(F29:F32)</f>
        <v>1049648.96</v>
      </c>
      <c r="G33" s="79"/>
      <c r="H33" s="79"/>
    </row>
    <row r="34" spans="1:8" s="80" customFormat="1" ht="16.5">
      <c r="A34" s="89" t="s">
        <v>328</v>
      </c>
      <c r="B34" s="85"/>
      <c r="C34" s="418"/>
      <c r="D34" s="418"/>
      <c r="E34" s="118"/>
      <c r="F34" s="110">
        <f>См_доход!F46</f>
        <v>1219144.71</v>
      </c>
      <c r="G34" s="117"/>
      <c r="H34" s="117"/>
    </row>
    <row r="35" spans="1:8" s="80" customFormat="1" ht="16.5">
      <c r="A35" s="232"/>
      <c r="B35" s="233"/>
      <c r="C35" s="182"/>
      <c r="D35" s="182"/>
      <c r="E35" s="234"/>
      <c r="F35" s="234"/>
      <c r="G35" s="117"/>
      <c r="H35" s="117"/>
    </row>
    <row r="36" ht="16.5">
      <c r="H36" s="117"/>
    </row>
    <row r="37" spans="6:8" ht="16.5">
      <c r="F37" s="238">
        <f>F11+F19+F22+F25+F33+F34</f>
        <v>22776044.64887922</v>
      </c>
      <c r="H37" s="117"/>
    </row>
  </sheetData>
  <sheetProtection/>
  <mergeCells count="20">
    <mergeCell ref="C23:D23"/>
    <mergeCell ref="C24:D24"/>
    <mergeCell ref="C25:D25"/>
    <mergeCell ref="A1:F1"/>
    <mergeCell ref="B2:C2"/>
    <mergeCell ref="E2:F2"/>
    <mergeCell ref="A4:F4"/>
    <mergeCell ref="C18:D18"/>
    <mergeCell ref="C20:D20"/>
    <mergeCell ref="E20:F20"/>
    <mergeCell ref="C21:D21"/>
    <mergeCell ref="C22:D22"/>
    <mergeCell ref="C34:D34"/>
    <mergeCell ref="C32:D32"/>
    <mergeCell ref="C33:D33"/>
    <mergeCell ref="C26:D26"/>
    <mergeCell ref="C27:D27"/>
    <mergeCell ref="C29:D29"/>
    <mergeCell ref="C30:D30"/>
    <mergeCell ref="C31:D31"/>
  </mergeCells>
  <printOptions/>
  <pageMargins left="0.5118110236220472" right="0.11811023622047245" top="0.35433070866141736" bottom="0.15748031496062992" header="0.31496062992125984" footer="0.11811023622047245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5">
      <selection activeCell="E36" sqref="E36"/>
    </sheetView>
  </sheetViews>
  <sheetFormatPr defaultColWidth="8.796875" defaultRowHeight="14.25"/>
  <cols>
    <col min="1" max="1" width="58.5" style="80" customWidth="1"/>
    <col min="2" max="2" width="13.8984375" style="80" customWidth="1"/>
    <col min="3" max="3" width="13.69921875" style="80" customWidth="1"/>
    <col min="4" max="7" width="10.69921875" style="80" customWidth="1"/>
    <col min="8" max="8" width="9" style="80" customWidth="1"/>
    <col min="9" max="16384" width="9" style="80" customWidth="1"/>
  </cols>
  <sheetData>
    <row r="1" spans="1:3" ht="16.5">
      <c r="A1" s="419" t="s">
        <v>171</v>
      </c>
      <c r="B1" s="419"/>
      <c r="C1" s="419"/>
    </row>
    <row r="2" spans="1:3" ht="16.5">
      <c r="A2" s="424" t="s">
        <v>322</v>
      </c>
      <c r="B2" s="424"/>
      <c r="C2" s="424"/>
    </row>
    <row r="3" spans="1:3" ht="17.25" thickBot="1">
      <c r="A3" s="425"/>
      <c r="B3" s="425"/>
      <c r="C3" s="425"/>
    </row>
    <row r="4" spans="1:3" ht="16.5">
      <c r="A4" s="264" t="s">
        <v>112</v>
      </c>
      <c r="B4" s="426" t="s">
        <v>172</v>
      </c>
      <c r="C4" s="427"/>
    </row>
    <row r="5" spans="1:3" ht="17.25" thickBot="1">
      <c r="A5" s="265" t="s">
        <v>116</v>
      </c>
      <c r="B5" s="262" t="s">
        <v>118</v>
      </c>
      <c r="C5" s="263" t="s">
        <v>119</v>
      </c>
    </row>
    <row r="6" spans="1:3" ht="17.25">
      <c r="A6" s="428" t="s">
        <v>120</v>
      </c>
      <c r="B6" s="429"/>
      <c r="C6" s="430"/>
    </row>
    <row r="7" spans="1:3" ht="17.25">
      <c r="A7" s="247"/>
      <c r="B7" s="244"/>
      <c r="C7" s="246"/>
    </row>
    <row r="8" spans="1:3" ht="16.5">
      <c r="A8" s="248" t="s">
        <v>173</v>
      </c>
      <c r="B8" s="188"/>
      <c r="C8" s="246"/>
    </row>
    <row r="9" spans="1:5" ht="16.5">
      <c r="A9" s="249" t="s">
        <v>126</v>
      </c>
      <c r="B9" s="185">
        <f>Штатное!I33</f>
        <v>555400</v>
      </c>
      <c r="C9" s="250">
        <v>6900000</v>
      </c>
      <c r="D9" s="160">
        <f>SUM(B9:B10)</f>
        <v>667590.8</v>
      </c>
      <c r="E9" s="160">
        <f>SUM(C9:C10)</f>
        <v>8294000</v>
      </c>
    </row>
    <row r="10" spans="1:3" ht="16.5">
      <c r="A10" s="249" t="s">
        <v>129</v>
      </c>
      <c r="B10" s="185">
        <f>Штатное!L33</f>
        <v>112190.80000000002</v>
      </c>
      <c r="C10" s="250">
        <v>1394000</v>
      </c>
    </row>
    <row r="11" spans="1:3" ht="16.5">
      <c r="A11" s="249"/>
      <c r="B11" s="185"/>
      <c r="C11" s="250"/>
    </row>
    <row r="12" spans="1:3" ht="17.25">
      <c r="A12" s="249"/>
      <c r="B12" s="188"/>
      <c r="C12" s="251">
        <f>SUM(C9:C11)</f>
        <v>8294000</v>
      </c>
    </row>
    <row r="13" spans="1:3" ht="16.5">
      <c r="A13" s="252"/>
      <c r="B13" s="185"/>
      <c r="C13" s="250"/>
    </row>
    <row r="14" spans="1:3" ht="16.5">
      <c r="A14" s="252" t="s">
        <v>174</v>
      </c>
      <c r="B14" s="185"/>
      <c r="C14" s="250"/>
    </row>
    <row r="15" spans="1:3" ht="17.25">
      <c r="A15" s="252" t="s">
        <v>175</v>
      </c>
      <c r="B15" s="185">
        <f>См_доход!L7+См_доход!L8+15000</f>
        <v>293840.78</v>
      </c>
      <c r="C15" s="251">
        <f>B15*12</f>
        <v>3526089.3600000003</v>
      </c>
    </row>
    <row r="16" spans="1:3" ht="17.25">
      <c r="A16" s="252" t="s">
        <v>135</v>
      </c>
      <c r="B16" s="185">
        <v>7523</v>
      </c>
      <c r="C16" s="251">
        <f>B16*12</f>
        <v>90276</v>
      </c>
    </row>
    <row r="17" spans="1:3" ht="17.25">
      <c r="A17" s="252" t="s">
        <v>176</v>
      </c>
      <c r="B17" s="185">
        <f>См_доход!K26</f>
        <v>122062.08333333333</v>
      </c>
      <c r="C17" s="253">
        <f>B17*12</f>
        <v>1464745</v>
      </c>
    </row>
    <row r="18" spans="1:3" ht="17.25">
      <c r="A18" s="252" t="s">
        <v>137</v>
      </c>
      <c r="B18" s="185"/>
      <c r="C18" s="251">
        <f>SUM(C20:C26)</f>
        <v>6390000</v>
      </c>
    </row>
    <row r="19" spans="1:3" ht="16.5">
      <c r="A19" s="254" t="s">
        <v>169</v>
      </c>
      <c r="B19" s="185"/>
      <c r="C19" s="250"/>
    </row>
    <row r="20" spans="1:3" ht="16.5">
      <c r="A20" s="254" t="s">
        <v>177</v>
      </c>
      <c r="B20" s="185"/>
      <c r="C20" s="255">
        <v>3600000</v>
      </c>
    </row>
    <row r="21" spans="1:3" ht="16.5">
      <c r="A21" s="254" t="s">
        <v>319</v>
      </c>
      <c r="B21" s="185"/>
      <c r="C21" s="255">
        <v>320000</v>
      </c>
    </row>
    <row r="22" spans="1:3" ht="16.5">
      <c r="A22" s="254" t="s">
        <v>178</v>
      </c>
      <c r="B22" s="185"/>
      <c r="C22" s="255">
        <v>320000</v>
      </c>
    </row>
    <row r="23" spans="1:3" ht="16.5">
      <c r="A23" s="254" t="s">
        <v>179</v>
      </c>
      <c r="B23" s="185"/>
      <c r="C23" s="255">
        <v>1100000</v>
      </c>
    </row>
    <row r="24" spans="1:3" ht="16.5">
      <c r="A24" s="254" t="s">
        <v>320</v>
      </c>
      <c r="B24" s="185"/>
      <c r="C24" s="255">
        <v>200000</v>
      </c>
    </row>
    <row r="25" spans="1:3" ht="16.5">
      <c r="A25" s="254" t="s">
        <v>180</v>
      </c>
      <c r="B25" s="431"/>
      <c r="C25" s="432">
        <v>850000</v>
      </c>
    </row>
    <row r="26" spans="1:3" ht="16.5">
      <c r="A26" s="254" t="s">
        <v>321</v>
      </c>
      <c r="B26" s="431"/>
      <c r="C26" s="432"/>
    </row>
    <row r="27" spans="1:3" ht="16.5">
      <c r="A27" s="256" t="s">
        <v>181</v>
      </c>
      <c r="B27" s="188"/>
      <c r="C27" s="257">
        <f>C12+C15+C16+C17+C18</f>
        <v>19765110.36</v>
      </c>
    </row>
    <row r="28" spans="1:3" ht="17.25">
      <c r="A28" s="247" t="s">
        <v>148</v>
      </c>
      <c r="B28" s="244"/>
      <c r="C28" s="250"/>
    </row>
    <row r="29" spans="1:3" ht="16.5">
      <c r="A29" s="258" t="s">
        <v>169</v>
      </c>
      <c r="B29" s="245"/>
      <c r="C29" s="250"/>
    </row>
    <row r="30" spans="1:3" ht="16.5">
      <c r="A30" s="252" t="s">
        <v>150</v>
      </c>
      <c r="B30" s="185">
        <f>'Проект бюдж'!E22</f>
        <v>151979.40723993455</v>
      </c>
      <c r="C30" s="257">
        <f>B30*12</f>
        <v>1823752.8868792146</v>
      </c>
    </row>
    <row r="31" spans="1:3" ht="16.5">
      <c r="A31" s="252"/>
      <c r="B31" s="185"/>
      <c r="C31" s="257"/>
    </row>
    <row r="32" spans="1:3" ht="17.25">
      <c r="A32" s="247" t="s">
        <v>152</v>
      </c>
      <c r="B32" s="244"/>
      <c r="C32" s="257"/>
    </row>
    <row r="33" spans="1:3" ht="16.5">
      <c r="A33" s="249" t="s">
        <v>153</v>
      </c>
      <c r="B33" s="185">
        <f>См_доход!E33</f>
        <v>28699.65</v>
      </c>
      <c r="C33" s="250">
        <f>B33*12</f>
        <v>344395.80000000005</v>
      </c>
    </row>
    <row r="34" spans="1:3" ht="16.5">
      <c r="A34" s="249" t="s">
        <v>154</v>
      </c>
      <c r="B34" s="185">
        <v>9600</v>
      </c>
      <c r="C34" s="250">
        <f>B34*12</f>
        <v>115200</v>
      </c>
    </row>
    <row r="35" spans="1:3" ht="16.5">
      <c r="A35" s="249"/>
      <c r="B35" s="185"/>
      <c r="C35" s="250"/>
    </row>
    <row r="36" spans="1:3" ht="16.5">
      <c r="A36" s="252"/>
      <c r="B36" s="185"/>
      <c r="C36" s="257">
        <f>SUM(C33:C34)</f>
        <v>459595.80000000005</v>
      </c>
    </row>
    <row r="37" spans="1:3" ht="17.25">
      <c r="A37" s="247"/>
      <c r="B37" s="244"/>
      <c r="C37" s="257"/>
    </row>
    <row r="38" spans="1:3" ht="17.25">
      <c r="A38" s="247" t="s">
        <v>337</v>
      </c>
      <c r="B38" s="244"/>
      <c r="C38" s="257">
        <f>345576+382010</f>
        <v>727586</v>
      </c>
    </row>
    <row r="39" spans="1:3" ht="17.25">
      <c r="A39" s="247"/>
      <c r="B39" s="244"/>
      <c r="C39" s="257"/>
    </row>
    <row r="40" spans="1:3" ht="17.25">
      <c r="A40" s="247"/>
      <c r="B40" s="244"/>
      <c r="C40" s="257"/>
    </row>
    <row r="41" spans="1:5" ht="16.5">
      <c r="A41" s="256" t="s">
        <v>183</v>
      </c>
      <c r="B41" s="188"/>
      <c r="C41" s="257">
        <f>C27+C30+C36+C38</f>
        <v>22776045.046879213</v>
      </c>
      <c r="E41" s="160">
        <f>C41-См_доход!F47</f>
        <v>0.39799999445676804</v>
      </c>
    </row>
    <row r="42" spans="1:3" ht="17.25" thickBot="1">
      <c r="A42" s="259"/>
      <c r="B42" s="260"/>
      <c r="C42" s="261"/>
    </row>
  </sheetData>
  <sheetProtection/>
  <mergeCells count="7">
    <mergeCell ref="A1:C1"/>
    <mergeCell ref="A2:C2"/>
    <mergeCell ref="A3:C3"/>
    <mergeCell ref="B4:C4"/>
    <mergeCell ref="A6:C6"/>
    <mergeCell ref="B25:B26"/>
    <mergeCell ref="C25:C26"/>
  </mergeCells>
  <printOptions/>
  <pageMargins left="0.7086614173228352" right="0.11811023622047201" top="0.15748031496062953" bottom="0.15748031496062953" header="0.11811023622047201" footer="0.11811023622047201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73">
      <selection activeCell="E64" sqref="E64"/>
    </sheetView>
  </sheetViews>
  <sheetFormatPr defaultColWidth="8.796875" defaultRowHeight="14.25"/>
  <cols>
    <col min="1" max="1" width="35.8984375" style="120" customWidth="1"/>
    <col min="2" max="2" width="32.59765625" style="125" customWidth="1"/>
    <col min="3" max="3" width="20.3984375" style="126" customWidth="1"/>
    <col min="4" max="4" width="9" style="120" customWidth="1"/>
    <col min="5" max="5" width="15.19921875" style="120" customWidth="1"/>
    <col min="6" max="6" width="39.3984375" style="120" customWidth="1"/>
    <col min="7" max="7" width="9" style="120" customWidth="1"/>
    <col min="8" max="16384" width="9" style="120" customWidth="1"/>
  </cols>
  <sheetData>
    <row r="1" spans="1:5" s="121" customFormat="1" ht="16.5">
      <c r="A1" s="178" t="s">
        <v>324</v>
      </c>
      <c r="B1" s="179"/>
      <c r="C1" s="180" t="s">
        <v>325</v>
      </c>
      <c r="D1" s="120"/>
      <c r="E1" s="120"/>
    </row>
    <row r="2" spans="1:5" s="121" customFormat="1" ht="16.5">
      <c r="A2" s="268" t="s">
        <v>184</v>
      </c>
      <c r="B2" s="168" t="s">
        <v>185</v>
      </c>
      <c r="C2" s="169" t="s">
        <v>186</v>
      </c>
      <c r="D2" s="120"/>
      <c r="E2" s="120"/>
    </row>
    <row r="3" spans="1:5" s="121" customFormat="1" ht="16.5">
      <c r="A3" s="268" t="s">
        <v>187</v>
      </c>
      <c r="B3" s="168" t="s">
        <v>188</v>
      </c>
      <c r="C3" s="170">
        <v>30835021.26</v>
      </c>
      <c r="D3" s="120"/>
      <c r="E3" s="120"/>
    </row>
    <row r="4" spans="1:5" s="121" customFormat="1" ht="16.5">
      <c r="A4" s="268" t="s">
        <v>189</v>
      </c>
      <c r="B4" s="168" t="s">
        <v>190</v>
      </c>
      <c r="C4" s="170">
        <v>10071446.57</v>
      </c>
      <c r="D4" s="120"/>
      <c r="E4" s="120"/>
    </row>
    <row r="5" spans="1:5" s="121" customFormat="1" ht="16.5">
      <c r="A5" s="268" t="s">
        <v>191</v>
      </c>
      <c r="B5" s="168" t="s">
        <v>192</v>
      </c>
      <c r="C5" s="170">
        <v>439705</v>
      </c>
      <c r="D5" s="120"/>
      <c r="E5" s="120"/>
    </row>
    <row r="6" spans="1:5" s="121" customFormat="1" ht="16.5">
      <c r="A6" s="268" t="s">
        <v>193</v>
      </c>
      <c r="B6" s="168" t="s">
        <v>194</v>
      </c>
      <c r="C6" s="170">
        <v>324838</v>
      </c>
      <c r="D6" s="120"/>
      <c r="E6" s="120"/>
    </row>
    <row r="7" spans="1:5" s="121" customFormat="1" ht="16.5">
      <c r="A7" s="268" t="s">
        <v>195</v>
      </c>
      <c r="B7" s="168" t="s">
        <v>196</v>
      </c>
      <c r="C7" s="170">
        <v>2302843.2</v>
      </c>
      <c r="D7" s="120"/>
      <c r="E7" s="120"/>
    </row>
    <row r="8" spans="1:5" s="121" customFormat="1" ht="16.5">
      <c r="A8" s="268" t="s">
        <v>197</v>
      </c>
      <c r="B8" s="168" t="s">
        <v>198</v>
      </c>
      <c r="C8" s="170">
        <v>15000</v>
      </c>
      <c r="D8" s="120"/>
      <c r="E8" s="120"/>
    </row>
    <row r="9" spans="1:5" s="121" customFormat="1" ht="16.5">
      <c r="A9" s="268" t="s">
        <v>199</v>
      </c>
      <c r="B9" s="168" t="s">
        <v>200</v>
      </c>
      <c r="C9" s="170">
        <v>153684</v>
      </c>
      <c r="D9" s="120"/>
      <c r="E9" s="120"/>
    </row>
    <row r="10" spans="1:5" s="121" customFormat="1" ht="16.5">
      <c r="A10" s="268" t="s">
        <v>201</v>
      </c>
      <c r="B10" s="168" t="s">
        <v>202</v>
      </c>
      <c r="C10" s="170">
        <v>34901</v>
      </c>
      <c r="D10" s="120"/>
      <c r="E10" s="120"/>
    </row>
    <row r="11" spans="1:5" s="121" customFormat="1" ht="16.5">
      <c r="A11" s="268" t="s">
        <v>203</v>
      </c>
      <c r="B11" s="168" t="s">
        <v>204</v>
      </c>
      <c r="C11" s="170">
        <v>1431642</v>
      </c>
      <c r="D11" s="120"/>
      <c r="E11" s="120"/>
    </row>
    <row r="12" spans="1:5" s="121" customFormat="1" ht="16.5">
      <c r="A12" s="433" t="s">
        <v>205</v>
      </c>
      <c r="B12" s="168" t="s">
        <v>206</v>
      </c>
      <c r="C12" s="170">
        <v>200000</v>
      </c>
      <c r="D12" s="120"/>
      <c r="E12" s="122">
        <f>C12+C13</f>
        <v>400000</v>
      </c>
    </row>
    <row r="13" spans="1:5" s="121" customFormat="1" ht="16.5">
      <c r="A13" s="433"/>
      <c r="B13" s="168" t="s">
        <v>207</v>
      </c>
      <c r="C13" s="170">
        <v>200000</v>
      </c>
      <c r="D13" s="120"/>
      <c r="E13" s="120"/>
    </row>
    <row r="14" spans="1:5" s="121" customFormat="1" ht="33">
      <c r="A14" s="443" t="s">
        <v>208</v>
      </c>
      <c r="B14" s="171" t="s">
        <v>209</v>
      </c>
      <c r="C14" s="170">
        <v>668988.83</v>
      </c>
      <c r="D14" s="120"/>
      <c r="E14" s="123">
        <f>C14+C15+C16+C17+C18+C19+C20</f>
        <v>2950555.49</v>
      </c>
    </row>
    <row r="15" spans="1:3" s="121" customFormat="1" ht="33">
      <c r="A15" s="444"/>
      <c r="B15" s="171" t="s">
        <v>210</v>
      </c>
      <c r="C15" s="170">
        <v>114492.66</v>
      </c>
    </row>
    <row r="16" spans="1:3" s="121" customFormat="1" ht="33">
      <c r="A16" s="444"/>
      <c r="B16" s="171" t="s">
        <v>211</v>
      </c>
      <c r="C16" s="170">
        <v>200000</v>
      </c>
    </row>
    <row r="17" spans="1:3" s="121" customFormat="1" ht="33">
      <c r="A17" s="444"/>
      <c r="B17" s="171" t="s">
        <v>212</v>
      </c>
      <c r="C17" s="170">
        <v>669170.93</v>
      </c>
    </row>
    <row r="18" spans="1:3" s="121" customFormat="1" ht="33">
      <c r="A18" s="444"/>
      <c r="B18" s="171" t="s">
        <v>213</v>
      </c>
      <c r="C18" s="170">
        <v>572100.59</v>
      </c>
    </row>
    <row r="19" spans="1:3" s="121" customFormat="1" ht="33">
      <c r="A19" s="444"/>
      <c r="B19" s="171" t="s">
        <v>214</v>
      </c>
      <c r="C19" s="170">
        <v>649382.03</v>
      </c>
    </row>
    <row r="20" spans="1:3" s="121" customFormat="1" ht="33">
      <c r="A20" s="444"/>
      <c r="B20" s="171" t="s">
        <v>215</v>
      </c>
      <c r="C20" s="170">
        <v>76420.45</v>
      </c>
    </row>
    <row r="21" spans="1:3" s="121" customFormat="1" ht="33">
      <c r="A21" s="445"/>
      <c r="B21" s="171" t="s">
        <v>365</v>
      </c>
      <c r="C21" s="170">
        <v>200000</v>
      </c>
    </row>
    <row r="22" spans="1:5" s="121" customFormat="1" ht="16.5">
      <c r="A22" s="433" t="s">
        <v>216</v>
      </c>
      <c r="B22" s="168" t="s">
        <v>217</v>
      </c>
      <c r="C22" s="170">
        <v>38400</v>
      </c>
      <c r="E22" s="124">
        <f>C22+C23+C24+C25+C26</f>
        <v>520105.2</v>
      </c>
    </row>
    <row r="23" spans="1:3" s="121" customFormat="1" ht="16.5">
      <c r="A23" s="433"/>
      <c r="B23" s="168" t="s">
        <v>218</v>
      </c>
      <c r="C23" s="170">
        <v>55820</v>
      </c>
    </row>
    <row r="24" spans="1:3" s="121" customFormat="1" ht="16.5">
      <c r="A24" s="433"/>
      <c r="B24" s="171" t="s">
        <v>219</v>
      </c>
      <c r="C24" s="170">
        <v>58667.86</v>
      </c>
    </row>
    <row r="25" spans="1:3" s="121" customFormat="1" ht="16.5">
      <c r="A25" s="433"/>
      <c r="B25" s="171" t="s">
        <v>220</v>
      </c>
      <c r="C25" s="170">
        <v>135186.78</v>
      </c>
    </row>
    <row r="26" spans="1:3" s="121" customFormat="1" ht="33">
      <c r="A26" s="433"/>
      <c r="B26" s="171" t="s">
        <v>221</v>
      </c>
      <c r="C26" s="170">
        <v>232030.56</v>
      </c>
    </row>
    <row r="27" spans="1:3" s="121" customFormat="1" ht="16.5">
      <c r="A27" s="172" t="s">
        <v>222</v>
      </c>
      <c r="B27" s="168" t="s">
        <v>223</v>
      </c>
      <c r="C27" s="170">
        <v>8010</v>
      </c>
    </row>
    <row r="28" spans="1:3" s="121" customFormat="1" ht="16.5">
      <c r="A28" s="172" t="s">
        <v>224</v>
      </c>
      <c r="B28" s="168" t="s">
        <v>225</v>
      </c>
      <c r="C28" s="170">
        <v>52873.59</v>
      </c>
    </row>
    <row r="29" spans="1:3" s="121" customFormat="1" ht="16.5">
      <c r="A29" s="268" t="s">
        <v>226</v>
      </c>
      <c r="B29" s="168" t="s">
        <v>227</v>
      </c>
      <c r="C29" s="170">
        <v>10907</v>
      </c>
    </row>
    <row r="30" spans="1:3" s="121" customFormat="1" ht="16.5">
      <c r="A30" s="268" t="s">
        <v>228</v>
      </c>
      <c r="B30" s="168" t="s">
        <v>229</v>
      </c>
      <c r="C30" s="170">
        <v>8698</v>
      </c>
    </row>
    <row r="31" spans="1:5" s="121" customFormat="1" ht="16.5">
      <c r="A31" s="434" t="s">
        <v>230</v>
      </c>
      <c r="B31" s="168" t="s">
        <v>231</v>
      </c>
      <c r="C31" s="170">
        <v>110400</v>
      </c>
      <c r="E31" s="124">
        <f>C31+C32</f>
        <v>865860</v>
      </c>
    </row>
    <row r="32" spans="1:3" s="121" customFormat="1" ht="16.5">
      <c r="A32" s="434"/>
      <c r="B32" s="168" t="s">
        <v>232</v>
      </c>
      <c r="C32" s="170">
        <v>755460</v>
      </c>
    </row>
    <row r="33" spans="1:3" s="121" customFormat="1" ht="15.75" customHeight="1">
      <c r="A33" s="268" t="s">
        <v>233</v>
      </c>
      <c r="B33" s="435" t="s">
        <v>234</v>
      </c>
      <c r="C33" s="170">
        <v>56040</v>
      </c>
    </row>
    <row r="34" spans="1:3" s="121" customFormat="1" ht="16.5">
      <c r="A34" s="268" t="s">
        <v>235</v>
      </c>
      <c r="B34" s="436"/>
      <c r="C34" s="170">
        <v>4700</v>
      </c>
    </row>
    <row r="35" spans="1:6" s="121" customFormat="1" ht="16.5">
      <c r="A35" s="268" t="s">
        <v>236</v>
      </c>
      <c r="B35" s="436"/>
      <c r="C35" s="170">
        <v>3498</v>
      </c>
      <c r="D35" s="120"/>
      <c r="F35" s="120"/>
    </row>
    <row r="36" spans="1:6" s="121" customFormat="1" ht="16.5">
      <c r="A36" s="268" t="s">
        <v>237</v>
      </c>
      <c r="B36" s="436"/>
      <c r="C36" s="170">
        <v>23580</v>
      </c>
      <c r="D36" s="120"/>
      <c r="E36" s="120"/>
      <c r="F36" s="120"/>
    </row>
    <row r="37" spans="1:6" s="121" customFormat="1" ht="16.5">
      <c r="A37" s="268" t="s">
        <v>238</v>
      </c>
      <c r="B37" s="436"/>
      <c r="C37" s="170">
        <v>6000</v>
      </c>
      <c r="D37" s="120"/>
      <c r="E37" s="120"/>
      <c r="F37" s="120"/>
    </row>
    <row r="38" spans="1:6" s="121" customFormat="1" ht="16.5">
      <c r="A38" s="268" t="s">
        <v>239</v>
      </c>
      <c r="B38" s="436"/>
      <c r="C38" s="170">
        <v>500</v>
      </c>
      <c r="D38" s="120"/>
      <c r="E38" s="120"/>
      <c r="F38" s="120"/>
    </row>
    <row r="39" spans="1:6" s="121" customFormat="1" ht="16.5">
      <c r="A39" s="268" t="s">
        <v>240</v>
      </c>
      <c r="B39" s="437"/>
      <c r="C39" s="170">
        <v>6950</v>
      </c>
      <c r="D39" s="120"/>
      <c r="E39" s="120"/>
      <c r="F39" s="120"/>
    </row>
    <row r="40" spans="1:6" s="121" customFormat="1" ht="16.5">
      <c r="A40" s="268" t="s">
        <v>241</v>
      </c>
      <c r="B40" s="269" t="s">
        <v>242</v>
      </c>
      <c r="C40" s="170">
        <v>442728</v>
      </c>
      <c r="D40" s="120"/>
      <c r="E40" s="120"/>
      <c r="F40" s="120"/>
    </row>
    <row r="41" spans="1:6" s="121" customFormat="1" ht="16.5">
      <c r="A41" s="268" t="s">
        <v>243</v>
      </c>
      <c r="B41" s="438" t="s">
        <v>244</v>
      </c>
      <c r="C41" s="170">
        <v>12500</v>
      </c>
      <c r="D41" s="120"/>
      <c r="E41" s="120"/>
      <c r="F41" s="120"/>
    </row>
    <row r="42" spans="1:6" s="121" customFormat="1" ht="16.5">
      <c r="A42" s="268" t="s">
        <v>245</v>
      </c>
      <c r="B42" s="438"/>
      <c r="C42" s="170">
        <v>68007.6</v>
      </c>
      <c r="D42" s="120"/>
      <c r="E42" s="120"/>
      <c r="F42" s="120"/>
    </row>
    <row r="43" spans="1:6" s="121" customFormat="1" ht="16.5">
      <c r="A43" s="268" t="s">
        <v>246</v>
      </c>
      <c r="B43" s="438" t="s">
        <v>247</v>
      </c>
      <c r="C43" s="170">
        <v>198625</v>
      </c>
      <c r="D43" s="120"/>
      <c r="E43" s="120"/>
      <c r="F43" s="120"/>
    </row>
    <row r="44" spans="1:6" s="121" customFormat="1" ht="16.5">
      <c r="A44" s="268" t="s">
        <v>248</v>
      </c>
      <c r="B44" s="438"/>
      <c r="C44" s="170">
        <v>14850</v>
      </c>
      <c r="D44" s="120"/>
      <c r="E44" s="120"/>
      <c r="F44" s="120"/>
    </row>
    <row r="45" spans="1:6" s="121" customFormat="1" ht="15.75" customHeight="1">
      <c r="A45" s="268" t="s">
        <v>249</v>
      </c>
      <c r="B45" s="168" t="s">
        <v>250</v>
      </c>
      <c r="C45" s="170">
        <v>55470.16</v>
      </c>
      <c r="D45" s="120"/>
      <c r="E45" s="120"/>
      <c r="F45" s="120" t="s">
        <v>251</v>
      </c>
    </row>
    <row r="46" spans="1:6" s="121" customFormat="1" ht="16.5">
      <c r="A46" s="268" t="s">
        <v>252</v>
      </c>
      <c r="B46" s="168" t="s">
        <v>253</v>
      </c>
      <c r="C46" s="170">
        <v>38634.19</v>
      </c>
      <c r="D46" s="120"/>
      <c r="E46" s="120"/>
      <c r="F46" s="120"/>
    </row>
    <row r="47" spans="1:6" s="121" customFormat="1" ht="16.5">
      <c r="A47" s="268" t="s">
        <v>254</v>
      </c>
      <c r="B47" s="168" t="s">
        <v>255</v>
      </c>
      <c r="C47" s="170">
        <v>2392</v>
      </c>
      <c r="D47" s="120"/>
      <c r="E47" s="120"/>
      <c r="F47" s="120"/>
    </row>
    <row r="48" spans="1:3" s="121" customFormat="1" ht="16.5">
      <c r="A48" s="172" t="s">
        <v>256</v>
      </c>
      <c r="B48" s="168" t="s">
        <v>218</v>
      </c>
      <c r="C48" s="170">
        <v>17940</v>
      </c>
    </row>
    <row r="49" spans="1:3" s="121" customFormat="1" ht="16.5">
      <c r="A49" s="268" t="s">
        <v>257</v>
      </c>
      <c r="B49" s="168" t="s">
        <v>258</v>
      </c>
      <c r="C49" s="170">
        <v>20763</v>
      </c>
    </row>
    <row r="50" spans="1:3" s="121" customFormat="1" ht="16.5">
      <c r="A50" s="268" t="s">
        <v>259</v>
      </c>
      <c r="B50" s="168" t="s">
        <v>260</v>
      </c>
      <c r="C50" s="170">
        <v>8695.6</v>
      </c>
    </row>
    <row r="51" spans="1:3" s="121" customFormat="1" ht="16.5">
      <c r="A51" s="317" t="s">
        <v>261</v>
      </c>
      <c r="B51" s="168" t="s">
        <v>262</v>
      </c>
      <c r="C51" s="170">
        <v>7500</v>
      </c>
    </row>
    <row r="52" spans="1:3" ht="16.5">
      <c r="A52" s="268" t="s">
        <v>263</v>
      </c>
      <c r="B52" s="168" t="s">
        <v>264</v>
      </c>
      <c r="C52" s="170">
        <v>4300</v>
      </c>
    </row>
    <row r="53" spans="1:3" s="121" customFormat="1" ht="16.5">
      <c r="A53" s="268" t="s">
        <v>265</v>
      </c>
      <c r="B53" s="438" t="s">
        <v>266</v>
      </c>
      <c r="C53" s="170">
        <v>11859.19</v>
      </c>
    </row>
    <row r="54" spans="1:3" s="121" customFormat="1" ht="16.5">
      <c r="A54" s="268" t="s">
        <v>267</v>
      </c>
      <c r="B54" s="438"/>
      <c r="C54" s="170">
        <v>10469.81</v>
      </c>
    </row>
    <row r="55" spans="1:3" s="121" customFormat="1" ht="16.5">
      <c r="A55" s="268" t="s">
        <v>268</v>
      </c>
      <c r="B55" s="438"/>
      <c r="C55" s="170">
        <v>8598</v>
      </c>
    </row>
    <row r="56" spans="1:3" s="121" customFormat="1" ht="16.5">
      <c r="A56" s="268" t="s">
        <v>269</v>
      </c>
      <c r="B56" s="435" t="s">
        <v>270</v>
      </c>
      <c r="C56" s="170">
        <v>7650</v>
      </c>
    </row>
    <row r="57" spans="1:3" s="121" customFormat="1" ht="15.75" customHeight="1">
      <c r="A57" s="268" t="s">
        <v>271</v>
      </c>
      <c r="B57" s="436"/>
      <c r="C57" s="170">
        <v>7300</v>
      </c>
    </row>
    <row r="58" spans="1:3" s="121" customFormat="1" ht="16.5">
      <c r="A58" s="268" t="s">
        <v>272</v>
      </c>
      <c r="B58" s="436"/>
      <c r="C58" s="170">
        <v>1700</v>
      </c>
    </row>
    <row r="59" spans="1:3" s="121" customFormat="1" ht="16.5">
      <c r="A59" s="268" t="s">
        <v>273</v>
      </c>
      <c r="B59" s="436"/>
      <c r="C59" s="170">
        <v>3060</v>
      </c>
    </row>
    <row r="60" spans="1:3" s="121" customFormat="1" ht="16.5">
      <c r="A60" s="268" t="s">
        <v>274</v>
      </c>
      <c r="B60" s="437"/>
      <c r="C60" s="170">
        <v>7100</v>
      </c>
    </row>
    <row r="61" spans="1:3" s="121" customFormat="1" ht="16.5">
      <c r="A61" s="268" t="s">
        <v>275</v>
      </c>
      <c r="B61" s="168" t="s">
        <v>276</v>
      </c>
      <c r="C61" s="170">
        <v>10217</v>
      </c>
    </row>
    <row r="62" spans="1:3" s="121" customFormat="1" ht="16.5">
      <c r="A62" s="268" t="s">
        <v>277</v>
      </c>
      <c r="B62" s="168" t="s">
        <v>278</v>
      </c>
      <c r="C62" s="170">
        <v>25000</v>
      </c>
    </row>
    <row r="63" spans="1:3" s="121" customFormat="1" ht="16.5">
      <c r="A63" s="268" t="s">
        <v>279</v>
      </c>
      <c r="B63" s="168" t="s">
        <v>280</v>
      </c>
      <c r="C63" s="170">
        <v>30202.5</v>
      </c>
    </row>
    <row r="64" spans="1:3" s="121" customFormat="1" ht="16.5">
      <c r="A64" s="268" t="s">
        <v>281</v>
      </c>
      <c r="B64" s="168" t="s">
        <v>282</v>
      </c>
      <c r="C64" s="170">
        <v>34120</v>
      </c>
    </row>
    <row r="65" spans="1:3" s="121" customFormat="1" ht="16.5">
      <c r="A65" s="268" t="s">
        <v>283</v>
      </c>
      <c r="B65" s="168" t="s">
        <v>284</v>
      </c>
      <c r="C65" s="170">
        <v>762246</v>
      </c>
    </row>
    <row r="66" spans="1:3" s="121" customFormat="1" ht="16.5">
      <c r="A66" s="268" t="s">
        <v>285</v>
      </c>
      <c r="B66" s="168" t="s">
        <v>286</v>
      </c>
      <c r="C66" s="170">
        <v>17625</v>
      </c>
    </row>
    <row r="67" spans="1:3" s="121" customFormat="1" ht="16.5" customHeight="1">
      <c r="A67" s="268" t="s">
        <v>287</v>
      </c>
      <c r="B67" s="439" t="s">
        <v>288</v>
      </c>
      <c r="C67" s="170">
        <v>13495.2</v>
      </c>
    </row>
    <row r="68" spans="1:3" s="121" customFormat="1" ht="16.5">
      <c r="A68" s="268" t="s">
        <v>289</v>
      </c>
      <c r="B68" s="440"/>
      <c r="C68" s="170">
        <v>199</v>
      </c>
    </row>
    <row r="69" spans="1:3" s="121" customFormat="1" ht="16.5">
      <c r="A69" s="172" t="s">
        <v>290</v>
      </c>
      <c r="B69" s="441"/>
      <c r="C69" s="170">
        <v>3250</v>
      </c>
    </row>
    <row r="70" spans="1:3" s="121" customFormat="1" ht="16.5">
      <c r="A70" s="268" t="s">
        <v>291</v>
      </c>
      <c r="B70" s="168" t="s">
        <v>292</v>
      </c>
      <c r="C70" s="170">
        <v>13500</v>
      </c>
    </row>
    <row r="71" spans="1:3" s="121" customFormat="1" ht="16.5">
      <c r="A71" s="268" t="s">
        <v>293</v>
      </c>
      <c r="B71" s="168" t="s">
        <v>294</v>
      </c>
      <c r="C71" s="170">
        <v>19200</v>
      </c>
    </row>
    <row r="72" spans="1:3" s="121" customFormat="1" ht="16.5">
      <c r="A72" s="172" t="s">
        <v>295</v>
      </c>
      <c r="B72" s="269" t="s">
        <v>296</v>
      </c>
      <c r="C72" s="170">
        <v>24500</v>
      </c>
    </row>
    <row r="73" spans="1:3" s="121" customFormat="1" ht="16.5">
      <c r="A73" s="172" t="s">
        <v>297</v>
      </c>
      <c r="B73" s="269" t="s">
        <v>298</v>
      </c>
      <c r="C73" s="170">
        <v>11500</v>
      </c>
    </row>
    <row r="74" spans="1:3" s="121" customFormat="1" ht="16.5">
      <c r="A74" s="172" t="s">
        <v>299</v>
      </c>
      <c r="B74" s="168" t="s">
        <v>300</v>
      </c>
      <c r="C74" s="170">
        <v>220</v>
      </c>
    </row>
    <row r="75" spans="1:3" s="121" customFormat="1" ht="17.25">
      <c r="A75" s="172"/>
      <c r="B75" s="168"/>
      <c r="C75" s="173">
        <f>SUM(C3:C74)</f>
        <v>52642775.56000001</v>
      </c>
    </row>
    <row r="76" spans="1:3" s="121" customFormat="1" ht="16.5">
      <c r="A76" s="172"/>
      <c r="B76" s="168"/>
      <c r="C76" s="170"/>
    </row>
    <row r="77" spans="1:3" s="121" customFormat="1" ht="17.25">
      <c r="A77" s="174" t="s">
        <v>301</v>
      </c>
      <c r="B77" s="175"/>
      <c r="C77" s="173">
        <f>SUM(C79:C86)</f>
        <v>9428325.44</v>
      </c>
    </row>
    <row r="78" spans="1:3" s="121" customFormat="1" ht="16.5">
      <c r="A78" s="174" t="s">
        <v>302</v>
      </c>
      <c r="B78" s="175"/>
      <c r="C78" s="176"/>
    </row>
    <row r="79" spans="1:3" s="121" customFormat="1" ht="16.5">
      <c r="A79" s="268" t="s">
        <v>303</v>
      </c>
      <c r="B79" s="168"/>
      <c r="C79" s="169">
        <v>8140312</v>
      </c>
    </row>
    <row r="80" spans="1:3" s="121" customFormat="1" ht="16.5">
      <c r="A80" s="268" t="s">
        <v>304</v>
      </c>
      <c r="B80" s="168"/>
      <c r="C80" s="170">
        <v>258370</v>
      </c>
    </row>
    <row r="81" spans="1:3" s="121" customFormat="1" ht="16.5">
      <c r="A81" s="268" t="s">
        <v>305</v>
      </c>
      <c r="B81" s="168"/>
      <c r="C81" s="170">
        <v>113662</v>
      </c>
    </row>
    <row r="82" spans="1:3" s="121" customFormat="1" ht="16.5">
      <c r="A82" s="268" t="s">
        <v>366</v>
      </c>
      <c r="B82" s="168"/>
      <c r="C82" s="170">
        <v>79105</v>
      </c>
    </row>
    <row r="83" spans="1:3" s="121" customFormat="1" ht="16.5">
      <c r="A83" s="268" t="s">
        <v>367</v>
      </c>
      <c r="B83" s="168"/>
      <c r="C83" s="170">
        <v>34474</v>
      </c>
    </row>
    <row r="84" spans="1:3" s="121" customFormat="1" ht="16.5">
      <c r="A84" s="268" t="s">
        <v>323</v>
      </c>
      <c r="B84" s="168"/>
      <c r="C84" s="170">
        <v>70919</v>
      </c>
    </row>
    <row r="85" spans="1:5" s="121" customFormat="1" ht="16.5">
      <c r="A85" s="268" t="s">
        <v>331</v>
      </c>
      <c r="B85" s="168"/>
      <c r="C85" s="170">
        <v>150467</v>
      </c>
      <c r="E85" s="315"/>
    </row>
    <row r="86" spans="1:5" s="121" customFormat="1" ht="16.5">
      <c r="A86" s="268" t="s">
        <v>368</v>
      </c>
      <c r="B86" s="168"/>
      <c r="C86" s="170">
        <v>581016.44</v>
      </c>
      <c r="E86" s="315"/>
    </row>
    <row r="87" spans="1:3" s="121" customFormat="1" ht="33" customHeight="1">
      <c r="A87" s="442" t="s">
        <v>306</v>
      </c>
      <c r="B87" s="442"/>
      <c r="C87" s="442"/>
    </row>
    <row r="88" spans="1:5" s="121" customFormat="1" ht="16.5">
      <c r="A88" s="172"/>
      <c r="B88" s="168"/>
      <c r="C88" s="316">
        <f>C75+C77</f>
        <v>62071101.00000001</v>
      </c>
      <c r="E88" s="177">
        <v>62071101.00000001</v>
      </c>
    </row>
  </sheetData>
  <sheetProtection/>
  <mergeCells count="11">
    <mergeCell ref="B53:B55"/>
    <mergeCell ref="B56:B60"/>
    <mergeCell ref="B67:B69"/>
    <mergeCell ref="A87:C87"/>
    <mergeCell ref="A14:A21"/>
    <mergeCell ref="A12:A13"/>
    <mergeCell ref="A22:A26"/>
    <mergeCell ref="A31:A32"/>
    <mergeCell ref="B33:B39"/>
    <mergeCell ref="B41:B42"/>
    <mergeCell ref="B43:B44"/>
  </mergeCells>
  <printOptions/>
  <pageMargins left="0.5118110236220472" right="0.11811023622047245" top="0.35433070866141736" bottom="0.35433070866141736" header="0.31496062992125984" footer="0.31496062992125984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0" zoomScaleNormal="80" zoomScalePageLayoutView="0" workbookViewId="0" topLeftCell="A1">
      <selection activeCell="K8" sqref="K8"/>
    </sheetView>
  </sheetViews>
  <sheetFormatPr defaultColWidth="8.796875" defaultRowHeight="14.25"/>
  <cols>
    <col min="1" max="1" width="24" style="239" customWidth="1"/>
    <col min="2" max="2" width="23.09765625" style="239" customWidth="1"/>
    <col min="3" max="3" width="11.5" style="239" customWidth="1"/>
    <col min="4" max="4" width="11.69921875" style="239" customWidth="1"/>
    <col min="5" max="5" width="12.3984375" style="239" customWidth="1"/>
    <col min="6" max="6" width="14.19921875" style="239" customWidth="1"/>
    <col min="7" max="7" width="13.8984375" style="239" customWidth="1"/>
    <col min="8" max="8" width="14" style="239" customWidth="1"/>
    <col min="9" max="16384" width="9" style="239" customWidth="1"/>
  </cols>
  <sheetData>
    <row r="1" spans="8:9" ht="14.25">
      <c r="H1" s="319" t="s">
        <v>338</v>
      </c>
      <c r="I1" s="129"/>
    </row>
    <row r="2" ht="14.25">
      <c r="I2" s="129"/>
    </row>
    <row r="3" spans="7:9" ht="14.25">
      <c r="G3" s="239" t="s">
        <v>372</v>
      </c>
      <c r="I3" s="129"/>
    </row>
    <row r="4" ht="14.25">
      <c r="I4" s="129"/>
    </row>
    <row r="5" ht="14.25">
      <c r="I5" s="129"/>
    </row>
    <row r="6" spans="1:9" ht="18">
      <c r="A6" s="446" t="s">
        <v>339</v>
      </c>
      <c r="B6" s="446"/>
      <c r="C6" s="446"/>
      <c r="D6" s="446"/>
      <c r="E6" s="446"/>
      <c r="F6" s="446"/>
      <c r="G6" s="446"/>
      <c r="H6" s="446"/>
      <c r="I6" s="129"/>
    </row>
    <row r="7" spans="1:9" ht="18">
      <c r="A7" s="446" t="s">
        <v>340</v>
      </c>
      <c r="B7" s="446"/>
      <c r="C7" s="446"/>
      <c r="D7" s="446"/>
      <c r="E7" s="446"/>
      <c r="F7" s="446"/>
      <c r="G7" s="446"/>
      <c r="H7" s="446"/>
      <c r="I7" s="129"/>
    </row>
    <row r="8" spans="1:9" ht="18">
      <c r="A8" s="446" t="s">
        <v>341</v>
      </c>
      <c r="B8" s="446"/>
      <c r="C8" s="446"/>
      <c r="D8" s="446"/>
      <c r="E8" s="446"/>
      <c r="F8" s="446"/>
      <c r="G8" s="446"/>
      <c r="H8" s="446"/>
      <c r="I8" s="129"/>
    </row>
    <row r="9" spans="1:9" ht="15" thickBot="1">
      <c r="A9" s="270"/>
      <c r="B9" s="270"/>
      <c r="C9" s="270"/>
      <c r="D9" s="270"/>
      <c r="E9" s="270"/>
      <c r="F9" s="270"/>
      <c r="G9" s="270"/>
      <c r="H9" s="270"/>
      <c r="I9" s="129"/>
    </row>
    <row r="10" spans="1:8" ht="14.25">
      <c r="A10" s="271"/>
      <c r="B10" s="272"/>
      <c r="C10" s="447" t="s">
        <v>342</v>
      </c>
      <c r="D10" s="447"/>
      <c r="E10" s="447"/>
      <c r="F10" s="447"/>
      <c r="G10" s="447"/>
      <c r="H10" s="447"/>
    </row>
    <row r="11" spans="1:8" ht="15" thickBot="1">
      <c r="A11" s="448" t="s">
        <v>343</v>
      </c>
      <c r="B11" s="448"/>
      <c r="C11" s="449" t="s">
        <v>344</v>
      </c>
      <c r="D11" s="449"/>
      <c r="E11" s="449"/>
      <c r="F11" s="449"/>
      <c r="G11" s="449"/>
      <c r="H11" s="449"/>
    </row>
    <row r="12" spans="1:8" ht="14.25">
      <c r="A12" s="448" t="s">
        <v>345</v>
      </c>
      <c r="B12" s="448"/>
      <c r="C12" s="273" t="s">
        <v>20</v>
      </c>
      <c r="D12" s="274" t="s">
        <v>162</v>
      </c>
      <c r="E12" s="275" t="s">
        <v>163</v>
      </c>
      <c r="F12" s="276" t="s">
        <v>346</v>
      </c>
      <c r="G12" s="276" t="s">
        <v>346</v>
      </c>
      <c r="H12" s="277" t="s">
        <v>316</v>
      </c>
    </row>
    <row r="13" spans="1:8" ht="15" thickBot="1">
      <c r="A13" s="278"/>
      <c r="B13" s="279"/>
      <c r="C13" s="280"/>
      <c r="D13" s="281"/>
      <c r="E13" s="282"/>
      <c r="F13" s="283">
        <v>204</v>
      </c>
      <c r="G13" s="283">
        <v>202</v>
      </c>
      <c r="H13" s="284" t="s">
        <v>347</v>
      </c>
    </row>
    <row r="14" spans="1:8" ht="15" customHeight="1">
      <c r="A14" s="285" t="s">
        <v>348</v>
      </c>
      <c r="B14" s="286"/>
      <c r="C14" s="287"/>
      <c r="D14" s="288"/>
      <c r="E14" s="289"/>
      <c r="F14" s="289"/>
      <c r="G14" s="289"/>
      <c r="H14" s="290"/>
    </row>
    <row r="15" spans="1:8" ht="15" customHeight="1">
      <c r="A15" s="291" t="s">
        <v>349</v>
      </c>
      <c r="B15" s="292"/>
      <c r="C15" s="293"/>
      <c r="D15" s="294"/>
      <c r="E15" s="275"/>
      <c r="F15" s="275"/>
      <c r="G15" s="275"/>
      <c r="H15" s="295"/>
    </row>
    <row r="16" spans="1:8" ht="15" customHeight="1">
      <c r="A16" s="450" t="s">
        <v>350</v>
      </c>
      <c r="B16" s="450"/>
      <c r="C16" s="296">
        <v>5.99</v>
      </c>
      <c r="D16" s="296">
        <v>5.99</v>
      </c>
      <c r="E16" s="296">
        <v>5.99</v>
      </c>
      <c r="F16" s="296">
        <v>5.99</v>
      </c>
      <c r="G16" s="296">
        <v>5.99</v>
      </c>
      <c r="H16" s="297">
        <v>8.8</v>
      </c>
    </row>
    <row r="17" spans="1:8" ht="15" customHeight="1">
      <c r="A17" s="451" t="s">
        <v>351</v>
      </c>
      <c r="B17" s="451"/>
      <c r="C17" s="296">
        <v>1.55</v>
      </c>
      <c r="D17" s="296">
        <v>1.44</v>
      </c>
      <c r="E17" s="298">
        <v>2.87</v>
      </c>
      <c r="F17" s="298">
        <v>2.89</v>
      </c>
      <c r="G17" s="299">
        <v>2.91</v>
      </c>
      <c r="H17" s="297" t="s">
        <v>307</v>
      </c>
    </row>
    <row r="18" spans="1:8" ht="15" customHeight="1">
      <c r="A18" s="450" t="s">
        <v>352</v>
      </c>
      <c r="B18" s="450"/>
      <c r="C18" s="296">
        <v>0.07</v>
      </c>
      <c r="D18" s="296">
        <v>0.07</v>
      </c>
      <c r="E18" s="296">
        <v>0.07</v>
      </c>
      <c r="F18" s="296">
        <v>0.07</v>
      </c>
      <c r="G18" s="296">
        <v>0.07</v>
      </c>
      <c r="H18" s="297">
        <v>0.07</v>
      </c>
    </row>
    <row r="19" spans="1:8" ht="15" customHeight="1">
      <c r="A19" s="450" t="s">
        <v>204</v>
      </c>
      <c r="B19" s="450"/>
      <c r="C19" s="296">
        <v>0.9</v>
      </c>
      <c r="D19" s="296">
        <v>0.9</v>
      </c>
      <c r="E19" s="296">
        <v>0.9</v>
      </c>
      <c r="F19" s="296">
        <v>0.9</v>
      </c>
      <c r="G19" s="296">
        <v>0.9</v>
      </c>
      <c r="H19" s="300" t="s">
        <v>142</v>
      </c>
    </row>
    <row r="20" spans="1:8" ht="15" customHeight="1">
      <c r="A20" s="452" t="s">
        <v>353</v>
      </c>
      <c r="B20" s="452"/>
      <c r="C20" s="296">
        <v>0.4</v>
      </c>
      <c r="D20" s="296">
        <v>0.4</v>
      </c>
      <c r="E20" s="296">
        <v>0.4</v>
      </c>
      <c r="F20" s="296">
        <v>0.4</v>
      </c>
      <c r="G20" s="296">
        <v>0.4</v>
      </c>
      <c r="H20" s="297">
        <v>0.5</v>
      </c>
    </row>
    <row r="21" spans="1:8" ht="15" customHeight="1">
      <c r="A21" s="450" t="s">
        <v>371</v>
      </c>
      <c r="B21" s="450"/>
      <c r="C21" s="296">
        <v>2</v>
      </c>
      <c r="D21" s="296">
        <v>2</v>
      </c>
      <c r="E21" s="298">
        <v>2</v>
      </c>
      <c r="F21" s="298">
        <v>2</v>
      </c>
      <c r="G21" s="298">
        <v>2</v>
      </c>
      <c r="H21" s="297">
        <v>2</v>
      </c>
    </row>
    <row r="22" spans="1:8" ht="15" customHeight="1" thickBot="1">
      <c r="A22" s="450" t="s">
        <v>354</v>
      </c>
      <c r="B22" s="450"/>
      <c r="C22" s="296">
        <v>1.79</v>
      </c>
      <c r="D22" s="296">
        <v>1.79</v>
      </c>
      <c r="E22" s="296">
        <v>1.79</v>
      </c>
      <c r="F22" s="296">
        <v>1.79</v>
      </c>
      <c r="G22" s="296">
        <v>1.79</v>
      </c>
      <c r="H22" s="297">
        <v>1.9</v>
      </c>
    </row>
    <row r="23" spans="1:8" ht="15" customHeight="1" thickBot="1">
      <c r="A23" s="453" t="s">
        <v>25</v>
      </c>
      <c r="B23" s="453"/>
      <c r="C23" s="302">
        <v>12.7</v>
      </c>
      <c r="D23" s="302">
        <v>12.59</v>
      </c>
      <c r="E23" s="303">
        <v>14.02</v>
      </c>
      <c r="F23" s="304">
        <v>14.040000000000003</v>
      </c>
      <c r="G23" s="304">
        <v>14.060000000000002</v>
      </c>
      <c r="H23" s="304">
        <v>13.270000000000001</v>
      </c>
    </row>
    <row r="24" spans="1:8" ht="15" customHeight="1" thickBot="1">
      <c r="A24" s="305" t="s">
        <v>355</v>
      </c>
      <c r="B24" s="306"/>
      <c r="C24" s="307">
        <v>33</v>
      </c>
      <c r="D24" s="307">
        <v>33</v>
      </c>
      <c r="E24" s="307">
        <v>33</v>
      </c>
      <c r="F24" s="307">
        <v>33</v>
      </c>
      <c r="G24" s="307">
        <v>33</v>
      </c>
      <c r="H24" s="303"/>
    </row>
    <row r="25" spans="1:8" ht="15" customHeight="1" thickBot="1">
      <c r="A25" s="308" t="s">
        <v>356</v>
      </c>
      <c r="B25" s="309"/>
      <c r="C25" s="310">
        <v>0.32</v>
      </c>
      <c r="D25" s="310">
        <v>0.32</v>
      </c>
      <c r="E25" s="310">
        <v>0.32</v>
      </c>
      <c r="F25" s="310">
        <v>0.32</v>
      </c>
      <c r="G25" s="310">
        <v>0.32</v>
      </c>
      <c r="H25" s="311" t="s">
        <v>307</v>
      </c>
    </row>
    <row r="26" spans="1:8" ht="15" customHeight="1" thickBot="1">
      <c r="A26" s="308" t="s">
        <v>357</v>
      </c>
      <c r="B26" s="309"/>
      <c r="C26" s="310">
        <v>45</v>
      </c>
      <c r="D26" s="310">
        <v>45</v>
      </c>
      <c r="E26" s="310">
        <v>45</v>
      </c>
      <c r="F26" s="310">
        <v>45</v>
      </c>
      <c r="G26" s="310">
        <v>45</v>
      </c>
      <c r="H26" s="311" t="s">
        <v>307</v>
      </c>
    </row>
    <row r="27" spans="1:8" ht="15" customHeight="1" thickBot="1">
      <c r="A27" s="308" t="s">
        <v>358</v>
      </c>
      <c r="B27" s="309"/>
      <c r="C27" s="454" t="s">
        <v>359</v>
      </c>
      <c r="D27" s="454"/>
      <c r="E27" s="454"/>
      <c r="F27" s="454"/>
      <c r="G27" s="454"/>
      <c r="H27" s="454"/>
    </row>
    <row r="28" spans="1:8" ht="15" customHeight="1" thickBot="1">
      <c r="A28" s="455" t="s">
        <v>360</v>
      </c>
      <c r="B28" s="455"/>
      <c r="C28" s="456"/>
      <c r="D28" s="456"/>
      <c r="E28" s="456"/>
      <c r="F28" s="456"/>
      <c r="G28" s="456"/>
      <c r="H28" s="456"/>
    </row>
    <row r="29" spans="1:8" ht="15" customHeight="1" thickBot="1">
      <c r="A29" s="301"/>
      <c r="B29" s="312" t="s">
        <v>361</v>
      </c>
      <c r="C29" s="458" t="s">
        <v>359</v>
      </c>
      <c r="D29" s="458"/>
      <c r="E29" s="458"/>
      <c r="F29" s="458"/>
      <c r="G29" s="458"/>
      <c r="H29" s="458"/>
    </row>
    <row r="30" spans="1:8" ht="15" customHeight="1" thickBot="1">
      <c r="A30" s="301"/>
      <c r="B30" s="312" t="s">
        <v>362</v>
      </c>
      <c r="C30" s="458" t="s">
        <v>359</v>
      </c>
      <c r="D30" s="458"/>
      <c r="E30" s="458"/>
      <c r="F30" s="458"/>
      <c r="G30" s="458"/>
      <c r="H30" s="458"/>
    </row>
    <row r="31" spans="1:8" ht="15" customHeight="1" thickBot="1">
      <c r="A31" s="301"/>
      <c r="B31" s="312" t="s">
        <v>182</v>
      </c>
      <c r="C31" s="458" t="s">
        <v>359</v>
      </c>
      <c r="D31" s="458"/>
      <c r="E31" s="458"/>
      <c r="F31" s="458"/>
      <c r="G31" s="458"/>
      <c r="H31" s="458"/>
    </row>
    <row r="32" spans="1:8" ht="15" customHeight="1" thickBot="1">
      <c r="A32" s="278"/>
      <c r="B32" s="313" t="s">
        <v>363</v>
      </c>
      <c r="C32" s="458" t="s">
        <v>359</v>
      </c>
      <c r="D32" s="458"/>
      <c r="E32" s="458"/>
      <c r="F32" s="458"/>
      <c r="G32" s="458"/>
      <c r="H32" s="458"/>
    </row>
    <row r="33" spans="1:7" ht="15" customHeight="1">
      <c r="A33" s="459"/>
      <c r="B33" s="459"/>
      <c r="C33" s="460"/>
      <c r="D33" s="460"/>
      <c r="E33" s="460"/>
      <c r="F33" s="314"/>
      <c r="G33" s="314"/>
    </row>
    <row r="34" spans="1:7" ht="14.25">
      <c r="A34" s="309"/>
      <c r="B34" s="309"/>
      <c r="C34" s="457"/>
      <c r="D34" s="457"/>
      <c r="E34" s="457"/>
      <c r="F34" s="314"/>
      <c r="G34" s="314"/>
    </row>
    <row r="35" spans="1:5" ht="14.25">
      <c r="A35" s="239" t="s">
        <v>364</v>
      </c>
      <c r="E35" s="239" t="s">
        <v>314</v>
      </c>
    </row>
  </sheetData>
  <sheetProtection/>
  <mergeCells count="25">
    <mergeCell ref="C34:E34"/>
    <mergeCell ref="C29:H29"/>
    <mergeCell ref="C30:H30"/>
    <mergeCell ref="C31:H31"/>
    <mergeCell ref="C32:H32"/>
    <mergeCell ref="A33:B33"/>
    <mergeCell ref="C33:E33"/>
    <mergeCell ref="A21:B21"/>
    <mergeCell ref="A22:B22"/>
    <mergeCell ref="A23:B23"/>
    <mergeCell ref="C27:H27"/>
    <mergeCell ref="A28:B28"/>
    <mergeCell ref="C28:H28"/>
    <mergeCell ref="A12:B12"/>
    <mergeCell ref="A16:B16"/>
    <mergeCell ref="A17:B17"/>
    <mergeCell ref="A18:B18"/>
    <mergeCell ref="A19:B19"/>
    <mergeCell ref="A20:B20"/>
    <mergeCell ref="A6:H6"/>
    <mergeCell ref="A7:H7"/>
    <mergeCell ref="A8:H8"/>
    <mergeCell ref="C10:H10"/>
    <mergeCell ref="A11:B11"/>
    <mergeCell ref="C11:H1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2018-06-14T14:50:22Z</cp:lastPrinted>
  <dcterms:created xsi:type="dcterms:W3CDTF">1996-10-09T02:32:33Z</dcterms:created>
  <dcterms:modified xsi:type="dcterms:W3CDTF">2019-04-16T09:08:11Z</dcterms:modified>
  <cp:category/>
  <cp:version/>
  <cp:contentType/>
  <cp:contentStatus/>
  <cp:revision>33</cp:revision>
</cp:coreProperties>
</file>